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a\Desktop\2024_0514\"/>
    </mc:Choice>
  </mc:AlternateContent>
  <xr:revisionPtr revIDLastSave="0" documentId="13_ncr:1_{6FEA1F06-D5EE-44FB-AAA9-C0ECA5594C34}" xr6:coauthVersionLast="47" xr6:coauthVersionMax="47" xr10:uidLastSave="{00000000-0000-0000-0000-000000000000}"/>
  <workbookProtection workbookAlgorithmName="SHA-512" workbookHashValue="5mM0v7LTYNeMqZF231YDzNhRDQkeqhIaD8vu3li1IrPEu3DTgB1zQofEjeJ1zR3k+8tzPoHpJ5YNYfMeR6RX8A==" workbookSaltValue="oaWSNPAwGNFDAkCijrKPBQ==" workbookSpinCount="100000" lockStructure="1"/>
  <bookViews>
    <workbookView xWindow="-120" yWindow="-120" windowWidth="29040" windowHeight="15840" activeTab="1" xr2:uid="{00000000-000D-0000-FFFF-FFFF00000000}"/>
  </bookViews>
  <sheets>
    <sheet name="計算書" sheetId="14" r:id="rId1"/>
    <sheet name="入力シート" sheetId="13" r:id="rId2"/>
    <sheet name="算定シート1" sheetId="4" state="hidden" r:id="rId3"/>
    <sheet name="算定シート2" sheetId="8" state="hidden" r:id="rId4"/>
    <sheet name="内部用" sheetId="17" state="hidden" r:id="rId5"/>
    <sheet name="リスト" sheetId="2" state="hidden" r:id="rId6"/>
    <sheet name="Sheet1" sheetId="5" state="hidden" r:id="rId7"/>
  </sheets>
  <definedNames>
    <definedName name="_xlnm.Print_Area" localSheetId="0">計算書!$E$1:$AE$64</definedName>
    <definedName name="_xlnm.Print_Area" localSheetId="2">算定シート1!$A$1:$I$57</definedName>
    <definedName name="_xlnm.Print_Area" localSheetId="4">内部用!$E$1:$AE$61</definedName>
    <definedName name="_xlnm.Print_Area" localSheetId="1">入力シート!$A$1:$M$26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Q62" i="14" l="1"/>
  <c r="F31" i="4" l="1"/>
  <c r="F26" i="4"/>
  <c r="B3" i="5"/>
  <c r="P63" i="14"/>
  <c r="I26" i="13"/>
  <c r="E23" i="5" l="1"/>
  <c r="E24" i="5"/>
  <c r="E25" i="5"/>
  <c r="E26" i="5"/>
  <c r="E27" i="5"/>
  <c r="E22" i="5"/>
  <c r="E21" i="5" l="1"/>
  <c r="E3" i="5"/>
  <c r="N31" i="14" s="1"/>
  <c r="E12" i="5" l="1"/>
  <c r="N29" i="17" s="1"/>
  <c r="N5" i="13" l="1"/>
  <c r="O6" i="13" s="1"/>
  <c r="Q49" i="17" l="1"/>
  <c r="K28" i="17"/>
  <c r="G28" i="17"/>
  <c r="S17" i="17" l="1"/>
  <c r="R23" i="17"/>
  <c r="N23" i="17"/>
  <c r="J23" i="17"/>
  <c r="L45" i="17" s="1"/>
  <c r="K17" i="17"/>
  <c r="T10" i="17"/>
  <c r="P10" i="17"/>
  <c r="L10" i="17"/>
  <c r="H10" i="17"/>
  <c r="U1" i="17"/>
  <c r="Q42" i="17" l="1"/>
  <c r="AH21" i="17"/>
  <c r="S20" i="17" s="1"/>
  <c r="AH17" i="17"/>
  <c r="K20" i="17" s="1"/>
  <c r="V23" i="17"/>
  <c r="O17" i="17" s="1"/>
  <c r="P36" i="17" s="1"/>
  <c r="AH10" i="17"/>
  <c r="AA10" i="17" s="1"/>
  <c r="I13" i="17" s="1"/>
  <c r="T13" i="17" s="1"/>
  <c r="F29" i="17" s="1"/>
  <c r="AH19" i="17"/>
  <c r="O20" i="17" s="1"/>
  <c r="W17" i="17" l="1"/>
  <c r="J29" i="17" s="1"/>
  <c r="AH29" i="17" s="1"/>
  <c r="W20" i="17"/>
  <c r="T36" i="17" l="1"/>
  <c r="T29" i="17"/>
  <c r="F9" i="8"/>
  <c r="AL29" i="17" l="1"/>
  <c r="AP29" i="17" s="1"/>
  <c r="AA29" i="17" s="1"/>
  <c r="L36" i="17" s="1"/>
  <c r="X36" i="17" s="1"/>
  <c r="Z30" i="17"/>
  <c r="AH36" i="17"/>
  <c r="O12" i="13"/>
  <c r="X37" i="17" l="1"/>
  <c r="L42" i="17"/>
  <c r="V42" i="17" s="1"/>
  <c r="Q45" i="17" s="1"/>
  <c r="V45" i="17" s="1"/>
  <c r="AH37" i="17"/>
  <c r="L49" i="17" l="1"/>
  <c r="V49" i="17" s="1"/>
  <c r="L57" i="17"/>
  <c r="R57" i="17" s="1"/>
  <c r="L54" i="17"/>
  <c r="AK37" i="17"/>
  <c r="R54" i="17" l="1"/>
  <c r="H9" i="13"/>
  <c r="O9" i="13" s="1"/>
  <c r="J20" i="14" l="1"/>
  <c r="AH20" i="14" s="1"/>
  <c r="P20" i="14" s="1"/>
  <c r="R23" i="14" s="1"/>
  <c r="N17" i="14" l="1"/>
  <c r="J14" i="14" l="1"/>
  <c r="R17" i="14"/>
  <c r="J17" i="14"/>
  <c r="T10" i="14"/>
  <c r="P10" i="14"/>
  <c r="L10" i="14"/>
  <c r="H10" i="14"/>
  <c r="L51" i="14" l="1"/>
  <c r="AH17" i="14"/>
  <c r="Y17" i="14" s="1"/>
  <c r="AH14" i="14"/>
  <c r="AH10" i="14"/>
  <c r="AA10" i="14" s="1"/>
  <c r="F31" i="14" s="1"/>
  <c r="N23" i="14" l="1"/>
  <c r="P39" i="14"/>
  <c r="P14" i="14"/>
  <c r="D12" i="8"/>
  <c r="E9" i="8"/>
  <c r="G9" i="8"/>
  <c r="D9" i="8"/>
  <c r="F6" i="8"/>
  <c r="G6" i="8"/>
  <c r="H6" i="8"/>
  <c r="I6" i="8"/>
  <c r="J6" i="8"/>
  <c r="K6" i="8"/>
  <c r="L6" i="8"/>
  <c r="E6" i="8"/>
  <c r="D6" i="8"/>
  <c r="D5" i="4" s="1"/>
  <c r="J9" i="8"/>
  <c r="J23" i="14" l="1"/>
  <c r="V23" i="14" s="1"/>
  <c r="O15" i="13"/>
  <c r="O18" i="13" s="1"/>
  <c r="P6" i="13" l="1"/>
  <c r="O20" i="13"/>
  <c r="P12" i="13"/>
  <c r="B6" i="13"/>
  <c r="B12" i="13"/>
  <c r="B15" i="13"/>
  <c r="B9" i="13"/>
  <c r="P15" i="13" l="1"/>
  <c r="P9" i="13"/>
  <c r="H9" i="8"/>
  <c r="K15" i="8" l="1"/>
  <c r="N12" i="8" l="1"/>
  <c r="D28" i="4" l="1"/>
  <c r="D24" i="4"/>
  <c r="D23" i="4"/>
  <c r="D22" i="4"/>
  <c r="D21" i="4"/>
  <c r="D13" i="4"/>
  <c r="D12" i="4"/>
  <c r="D11" i="4"/>
  <c r="D10" i="4"/>
  <c r="D9" i="4"/>
  <c r="D8" i="4"/>
  <c r="D7" i="4"/>
  <c r="D6" i="4"/>
  <c r="O12" i="8"/>
  <c r="B9" i="8" s="1"/>
  <c r="O9" i="8"/>
  <c r="B12" i="8" s="1"/>
  <c r="N6" i="8"/>
  <c r="O6" i="8" s="1"/>
  <c r="P6" i="8" s="1"/>
  <c r="B6" i="8" s="1"/>
  <c r="B14" i="8" l="1"/>
  <c r="Q10" i="8"/>
  <c r="P12" i="8" s="1"/>
  <c r="I22" i="8" l="1"/>
  <c r="O25" i="8"/>
  <c r="O22" i="8"/>
  <c r="P9" i="8"/>
  <c r="D30" i="4" l="1"/>
  <c r="AL17" i="17" l="1"/>
  <c r="AL14" i="14"/>
  <c r="AL39" i="14" s="1"/>
  <c r="M18" i="4"/>
  <c r="F54" i="4"/>
  <c r="D39" i="4"/>
  <c r="D38" i="4"/>
  <c r="D25" i="4"/>
  <c r="D19" i="4"/>
  <c r="AL10" i="14" l="1"/>
  <c r="D31" i="4"/>
  <c r="D26" i="4"/>
  <c r="AL10" i="17"/>
  <c r="AL19" i="17"/>
  <c r="AL17" i="14"/>
  <c r="M19" i="4"/>
  <c r="M21" i="4" s="1"/>
  <c r="M22" i="4" s="1"/>
  <c r="M23" i="4" s="1"/>
  <c r="J15" i="8" s="1"/>
  <c r="E19" i="8" s="1"/>
  <c r="L19" i="4"/>
  <c r="L21" i="4" s="1"/>
  <c r="L22" i="4" s="1"/>
  <c r="L18" i="4"/>
  <c r="D40" i="4"/>
  <c r="D41" i="4" l="1"/>
  <c r="D34" i="8" s="1"/>
  <c r="T39" i="14"/>
  <c r="AP39" i="14" s="1"/>
  <c r="J31" i="14"/>
  <c r="AH31" i="14" s="1"/>
  <c r="L23" i="4"/>
  <c r="M24" i="4"/>
  <c r="T31" i="14" l="1"/>
  <c r="K14" i="8"/>
  <c r="J14" i="8"/>
  <c r="L24" i="4"/>
  <c r="D44" i="4"/>
  <c r="E34" i="8" s="1"/>
  <c r="D43" i="4"/>
  <c r="F34" i="8" s="1"/>
  <c r="AL31" i="14" l="1"/>
  <c r="AP31" i="14" s="1"/>
  <c r="AA31" i="14" s="1"/>
  <c r="L39" i="14" s="1"/>
  <c r="X39" i="14" s="1"/>
  <c r="Z32" i="14"/>
  <c r="F19" i="8"/>
  <c r="D19" i="8" s="1"/>
  <c r="C17" i="4"/>
  <c r="C16" i="4"/>
  <c r="C15" i="4"/>
  <c r="C14" i="4"/>
  <c r="C13" i="4"/>
  <c r="C12" i="4"/>
  <c r="C11" i="4"/>
  <c r="C10" i="4"/>
  <c r="C9" i="4"/>
  <c r="C8" i="4"/>
  <c r="C7" i="4"/>
  <c r="C6" i="4"/>
  <c r="L47" i="14" l="1"/>
  <c r="T47" i="14" s="1"/>
  <c r="AH39" i="14"/>
  <c r="AT39" i="14" s="1"/>
  <c r="G19" i="8"/>
  <c r="D18" i="4"/>
  <c r="B17" i="4"/>
  <c r="B16" i="4"/>
  <c r="B15" i="4"/>
  <c r="B14" i="4"/>
  <c r="B13" i="4"/>
  <c r="B12" i="4"/>
  <c r="B11" i="4"/>
  <c r="B10" i="4"/>
  <c r="B9" i="4"/>
  <c r="B8" i="4"/>
  <c r="B7" i="4"/>
  <c r="B6" i="4"/>
  <c r="Q51" i="14" l="1"/>
  <c r="V51" i="14" s="1"/>
  <c r="AA54" i="14" s="1"/>
  <c r="H25" i="8"/>
  <c r="G20" i="4"/>
  <c r="I20" i="4" s="1"/>
  <c r="G23" i="4"/>
  <c r="I23" i="4" s="1"/>
  <c r="G22" i="4"/>
  <c r="I22" i="4" s="1"/>
  <c r="G21" i="4"/>
  <c r="I21" i="4" s="1"/>
  <c r="L57" i="14" l="1"/>
  <c r="Q57" i="14"/>
  <c r="V57" i="14"/>
  <c r="I25" i="8"/>
  <c r="J25" i="8" s="1"/>
  <c r="K25" i="8" s="1"/>
  <c r="L25" i="8" s="1"/>
  <c r="M25" i="8" s="1"/>
  <c r="AA57" i="14" l="1"/>
  <c r="L62" i="14" s="1"/>
  <c r="V62" i="14" s="1"/>
  <c r="C26" i="13"/>
  <c r="N25" i="8"/>
  <c r="P25" i="8" s="1"/>
  <c r="D47" i="4"/>
  <c r="G47" i="4" l="1"/>
  <c r="D37" i="8"/>
  <c r="D49" i="4" l="1"/>
  <c r="D54" i="4" s="1"/>
  <c r="D50" i="4"/>
  <c r="D56" i="4" s="1"/>
  <c r="D25" i="8"/>
  <c r="D22" i="8"/>
  <c r="F37" i="8" l="1"/>
  <c r="H54" i="4"/>
  <c r="H6" i="4"/>
  <c r="D57" i="4"/>
  <c r="H7" i="4" s="1"/>
  <c r="I6" i="4"/>
  <c r="E37" i="8"/>
  <c r="I4" i="4"/>
  <c r="D55" i="4"/>
  <c r="H4" i="4"/>
  <c r="B22" i="8"/>
  <c r="B25" i="8"/>
  <c r="F25" i="8"/>
  <c r="G25" i="8" s="1"/>
  <c r="E25" i="8"/>
  <c r="N22" i="8"/>
  <c r="P22" i="8" s="1"/>
  <c r="F22" i="8"/>
  <c r="G22" i="8" s="1"/>
  <c r="E22" i="8"/>
  <c r="E28" i="8" l="1"/>
  <c r="D28" i="8" s="1"/>
  <c r="I7" i="4"/>
  <c r="I5" i="4"/>
  <c r="H5" i="4"/>
</calcChain>
</file>

<file path=xl/sharedStrings.xml><?xml version="1.0" encoding="utf-8"?>
<sst xmlns="http://schemas.openxmlformats.org/spreadsheetml/2006/main" count="474" uniqueCount="260">
  <si>
    <t>停止対象月</t>
    <rPh sb="0" eb="2">
      <t>テイシ</t>
    </rPh>
    <rPh sb="2" eb="4">
      <t>タイショウ</t>
    </rPh>
    <rPh sb="4" eb="5">
      <t>ツキ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</si>
  <si>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</si>
  <si>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標準賞与</t>
    <phoneticPr fontId="2"/>
  </si>
  <si>
    <t>総報酬月額相当額</t>
    <rPh sb="0" eb="1">
      <t>ソウ</t>
    </rPh>
    <rPh sb="1" eb="3">
      <t>ホウシュウ</t>
    </rPh>
    <rPh sb="3" eb="5">
      <t>ゲツガク</t>
    </rPh>
    <rPh sb="5" eb="7">
      <t>ソウトウ</t>
    </rPh>
    <rPh sb="7" eb="8">
      <t>ガク</t>
    </rPh>
    <phoneticPr fontId="2"/>
  </si>
  <si>
    <t>退職共済年金</t>
    <rPh sb="0" eb="2">
      <t>タイショク</t>
    </rPh>
    <rPh sb="2" eb="4">
      <t>キョウサイ</t>
    </rPh>
    <rPh sb="4" eb="6">
      <t>ネンキン</t>
    </rPh>
    <phoneticPr fontId="2"/>
  </si>
  <si>
    <t>給料比例部分</t>
    <rPh sb="0" eb="2">
      <t>キュウリョウ</t>
    </rPh>
    <rPh sb="2" eb="4">
      <t>ヒレイ</t>
    </rPh>
    <rPh sb="4" eb="6">
      <t>ブブン</t>
    </rPh>
    <phoneticPr fontId="2"/>
  </si>
  <si>
    <t>職域年金部分</t>
    <rPh sb="0" eb="2">
      <t>ショクイキ</t>
    </rPh>
    <rPh sb="2" eb="4">
      <t>ネンキン</t>
    </rPh>
    <rPh sb="4" eb="6">
      <t>ブブン</t>
    </rPh>
    <phoneticPr fontId="2"/>
  </si>
  <si>
    <t>調整前特例支給停止額</t>
    <rPh sb="0" eb="2">
      <t>チョウセイ</t>
    </rPh>
    <rPh sb="2" eb="3">
      <t>マエ</t>
    </rPh>
    <rPh sb="3" eb="5">
      <t>トクレイ</t>
    </rPh>
    <rPh sb="5" eb="7">
      <t>シキュウ</t>
    </rPh>
    <rPh sb="7" eb="9">
      <t>テイシ</t>
    </rPh>
    <rPh sb="9" eb="10">
      <t>ガク</t>
    </rPh>
    <phoneticPr fontId="2"/>
  </si>
  <si>
    <t>老齢厚生年金</t>
    <rPh sb="0" eb="2">
      <t>ロウレイ</t>
    </rPh>
    <rPh sb="2" eb="4">
      <t>コウセイ</t>
    </rPh>
    <rPh sb="4" eb="6">
      <t>ネンキン</t>
    </rPh>
    <phoneticPr fontId="2"/>
  </si>
  <si>
    <t>基本月額</t>
    <rPh sb="0" eb="2">
      <t>キホン</t>
    </rPh>
    <rPh sb="2" eb="4">
      <t>ゲツガク</t>
    </rPh>
    <phoneticPr fontId="2"/>
  </si>
  <si>
    <t>計</t>
    <rPh sb="0" eb="1">
      <t>ケイ</t>
    </rPh>
    <phoneticPr fontId="2"/>
  </si>
  <si>
    <t>①</t>
    <phoneticPr fontId="2"/>
  </si>
  <si>
    <t>②</t>
    <phoneticPr fontId="2"/>
  </si>
  <si>
    <t>④</t>
    <phoneticPr fontId="2"/>
  </si>
  <si>
    <t>支給停止額</t>
    <rPh sb="0" eb="2">
      <t>シキュウ</t>
    </rPh>
    <rPh sb="2" eb="4">
      <t>テイシ</t>
    </rPh>
    <rPh sb="4" eb="5">
      <t>ガク</t>
    </rPh>
    <phoneticPr fontId="2"/>
  </si>
  <si>
    <t>報酬比例部分</t>
    <rPh sb="0" eb="2">
      <t>ホウシュウ</t>
    </rPh>
    <rPh sb="2" eb="4">
      <t>ヒレイ</t>
    </rPh>
    <rPh sb="4" eb="6">
      <t>ブブン</t>
    </rPh>
    <phoneticPr fontId="2"/>
  </si>
  <si>
    <t>　●第２項（10％配慮措置）</t>
    <rPh sb="2" eb="3">
      <t>ダイ</t>
    </rPh>
    <rPh sb="4" eb="5">
      <t>コウ</t>
    </rPh>
    <rPh sb="9" eb="11">
      <t>ハイリョ</t>
    </rPh>
    <rPh sb="11" eb="13">
      <t>ソチ</t>
    </rPh>
    <phoneticPr fontId="2"/>
  </si>
  <si>
    <t>○支給停止額</t>
    <rPh sb="1" eb="3">
      <t>シキュウ</t>
    </rPh>
    <rPh sb="3" eb="5">
      <t>テイシ</t>
    </rPh>
    <rPh sb="5" eb="6">
      <t>ガク</t>
    </rPh>
    <phoneticPr fontId="2"/>
  </si>
  <si>
    <t>支給額</t>
    <rPh sb="0" eb="3">
      <t>シキュウガク</t>
    </rPh>
    <phoneticPr fontId="2"/>
  </si>
  <si>
    <t>27年10月より前から引き続き</t>
    <rPh sb="2" eb="3">
      <t>ネン</t>
    </rPh>
    <rPh sb="5" eb="6">
      <t>ガツ</t>
    </rPh>
    <rPh sb="8" eb="9">
      <t>マエ</t>
    </rPh>
    <rPh sb="11" eb="12">
      <t>ヒ</t>
    </rPh>
    <rPh sb="13" eb="14">
      <t>ツヅ</t>
    </rPh>
    <phoneticPr fontId="2"/>
  </si>
  <si>
    <t>民間在職中</t>
    <rPh sb="0" eb="2">
      <t>ミンカン</t>
    </rPh>
    <rPh sb="2" eb="5">
      <t>ザイショクチュウ</t>
    </rPh>
    <phoneticPr fontId="2"/>
  </si>
  <si>
    <t>共済加入中</t>
    <rPh sb="0" eb="2">
      <t>キョウサイ</t>
    </rPh>
    <rPh sb="2" eb="4">
      <t>カニュウ</t>
    </rPh>
    <rPh sb="4" eb="5">
      <t>チュウ</t>
    </rPh>
    <phoneticPr fontId="2"/>
  </si>
  <si>
    <t>退職共済年金・老齢厚生年金支給停止額計算書（65歳以上）</t>
    <rPh sb="0" eb="2">
      <t>タイショク</t>
    </rPh>
    <rPh sb="2" eb="4">
      <t>キョウサイ</t>
    </rPh>
    <rPh sb="4" eb="6">
      <t>ネンキン</t>
    </rPh>
    <rPh sb="7" eb="9">
      <t>ロウレイ</t>
    </rPh>
    <rPh sb="9" eb="11">
      <t>コウセイ</t>
    </rPh>
    <rPh sb="11" eb="13">
      <t>ネンキン</t>
    </rPh>
    <rPh sb="13" eb="15">
      <t>シキュウ</t>
    </rPh>
    <rPh sb="15" eb="17">
      <t>テイシ</t>
    </rPh>
    <rPh sb="17" eb="18">
      <t>ガク</t>
    </rPh>
    <rPh sb="18" eb="21">
      <t>ケイサンショ</t>
    </rPh>
    <rPh sb="24" eb="25">
      <t>サイ</t>
    </rPh>
    <rPh sb="25" eb="27">
      <t>イジョウ</t>
    </rPh>
    <phoneticPr fontId="2"/>
  </si>
  <si>
    <t>　●第１項（高在老）</t>
    <rPh sb="2" eb="3">
      <t>ダイ</t>
    </rPh>
    <rPh sb="4" eb="5">
      <t>コウ</t>
    </rPh>
    <rPh sb="6" eb="7">
      <t>コウ</t>
    </rPh>
    <rPh sb="7" eb="8">
      <t>ザイ</t>
    </rPh>
    <rPh sb="8" eb="9">
      <t>ロウ</t>
    </rPh>
    <phoneticPr fontId="2"/>
  </si>
  <si>
    <t>○一元化法附則第17条第１項の規定により準用する同法附則第14条</t>
    <rPh sb="1" eb="4">
      <t>イチゲンカ</t>
    </rPh>
    <rPh sb="4" eb="5">
      <t>ホウ</t>
    </rPh>
    <rPh sb="5" eb="7">
      <t>フソク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ジュンヨウ</t>
    </rPh>
    <rPh sb="24" eb="26">
      <t>ドウホウ</t>
    </rPh>
    <rPh sb="26" eb="28">
      <t>フソク</t>
    </rPh>
    <rPh sb="28" eb="29">
      <t>ダイ</t>
    </rPh>
    <rPh sb="31" eb="32">
      <t>ジョウ</t>
    </rPh>
    <phoneticPr fontId="2"/>
  </si>
  <si>
    <t>経過的加算額</t>
    <rPh sb="0" eb="3">
      <t>ケイカテキ</t>
    </rPh>
    <rPh sb="3" eb="6">
      <t>カサンガク</t>
    </rPh>
    <phoneticPr fontId="2"/>
  </si>
  <si>
    <t>決定年金額</t>
    <rPh sb="0" eb="2">
      <t>ケッテイ</t>
    </rPh>
    <rPh sb="2" eb="5">
      <t>ネンキンガク</t>
    </rPh>
    <phoneticPr fontId="2"/>
  </si>
  <si>
    <t>加給年金額</t>
    <rPh sb="0" eb="2">
      <t>カキュウ</t>
    </rPh>
    <rPh sb="2" eb="5">
      <t>ネンキンガク</t>
    </rPh>
    <phoneticPr fontId="2"/>
  </si>
  <si>
    <t>⑤</t>
    <phoneticPr fontId="2"/>
  </si>
  <si>
    <t>⑥</t>
    <phoneticPr fontId="2"/>
  </si>
  <si>
    <t>③ (①+②/12)</t>
    <phoneticPr fontId="2"/>
  </si>
  <si>
    <t>⑧ (④-⑤-⑥-⑦/12)</t>
    <phoneticPr fontId="2"/>
  </si>
  <si>
    <t>⑩</t>
    <phoneticPr fontId="2"/>
  </si>
  <si>
    <t>⑫ (⑩-⑪/12)</t>
    <phoneticPr fontId="2"/>
  </si>
  <si>
    <t>④-⑤-⑥-⑦</t>
    <phoneticPr fontId="2"/>
  </si>
  <si>
    <t>⑭ ((④-⑤-⑥-⑦+⑩)/12)</t>
    <phoneticPr fontId="2"/>
  </si>
  <si>
    <t>⑯ ⑮*⑧/(⑧+⑫)</t>
    <phoneticPr fontId="2"/>
  </si>
  <si>
    <t>⑰ ⑮*⑫/(⑧+⑫)</t>
    <phoneticPr fontId="2"/>
  </si>
  <si>
    <t>⑱</t>
    <phoneticPr fontId="2"/>
  </si>
  <si>
    <t>⑲ ⑱*⑧/(⑧+⑫)</t>
    <phoneticPr fontId="2"/>
  </si>
  <si>
    <t>⑳ ⑱*⑫/(⑧+⑫)</t>
    <phoneticPr fontId="2"/>
  </si>
  <si>
    <t>C min(⑰,⑳)*12</t>
    <phoneticPr fontId="2"/>
  </si>
  <si>
    <t>B ④-A</t>
    <phoneticPr fontId="2"/>
  </si>
  <si>
    <t>D ⑩-C</t>
    <phoneticPr fontId="2"/>
  </si>
  <si>
    <t>⑨本退共支給停止額</t>
    <rPh sb="1" eb="2">
      <t>ホン</t>
    </rPh>
    <rPh sb="2" eb="3">
      <t>タイ</t>
    </rPh>
    <rPh sb="3" eb="4">
      <t>キョウ</t>
    </rPh>
    <phoneticPr fontId="2"/>
  </si>
  <si>
    <t>　　（③＋⑭－⑨－⑬）/10＋⑨＋⑬＝</t>
    <phoneticPr fontId="2"/>
  </si>
  <si>
    <t>⑧≦28万、かつ、③≦47万</t>
    <phoneticPr fontId="2"/>
  </si>
  <si>
    <t>⑧≦28万、かつ、47万＜③</t>
    <phoneticPr fontId="2"/>
  </si>
  <si>
    <t>28万＜⑧、かつ、③≦47万</t>
    <phoneticPr fontId="2"/>
  </si>
  <si>
    <t>28万＜⑧、かつ、47万＜③</t>
    <phoneticPr fontId="2"/>
  </si>
  <si>
    <r>
      <t>報酬比例部分</t>
    </r>
    <r>
      <rPr>
        <sz val="11"/>
        <color rgb="FFFF0000"/>
        <rFont val="ＭＳ Ｐゴシック"/>
        <family val="3"/>
        <charset val="128"/>
        <scheme val="minor"/>
      </rPr>
      <t>（年額）</t>
    </r>
    <rPh sb="0" eb="2">
      <t>ホウシュウ</t>
    </rPh>
    <rPh sb="2" eb="4">
      <t>ヒレイ</t>
    </rPh>
    <rPh sb="4" eb="6">
      <t>ブブン</t>
    </rPh>
    <rPh sb="7" eb="9">
      <t>ネンガク</t>
    </rPh>
    <phoneticPr fontId="2"/>
  </si>
  <si>
    <t>2月分</t>
    <rPh sb="1" eb="2">
      <t>ツキ</t>
    </rPh>
    <rPh sb="2" eb="3">
      <t>ブン</t>
    </rPh>
    <phoneticPr fontId="2"/>
  </si>
  <si>
    <t>1月分</t>
    <rPh sb="1" eb="2">
      <t>ツキ</t>
    </rPh>
    <rPh sb="2" eb="3">
      <t>ブン</t>
    </rPh>
    <phoneticPr fontId="2"/>
  </si>
  <si>
    <r>
      <t>⑦</t>
    </r>
    <r>
      <rPr>
        <sz val="11"/>
        <color rgb="FFFF0000"/>
        <rFont val="ＭＳ Ｐゴシック"/>
        <family val="3"/>
        <charset val="128"/>
        <scheme val="minor"/>
      </rPr>
      <t>端数切り上げ</t>
    </r>
    <rPh sb="1" eb="3">
      <t>ハスウ</t>
    </rPh>
    <rPh sb="3" eb="4">
      <t>キ</t>
    </rPh>
    <rPh sb="5" eb="6">
      <t>ア</t>
    </rPh>
    <phoneticPr fontId="2"/>
  </si>
  <si>
    <t>←停止額（機構等）</t>
    <rPh sb="1" eb="3">
      <t>テイシ</t>
    </rPh>
    <rPh sb="3" eb="4">
      <t>ガク</t>
    </rPh>
    <rPh sb="5" eb="7">
      <t>キコウ</t>
    </rPh>
    <rPh sb="7" eb="8">
      <t>トウ</t>
    </rPh>
    <phoneticPr fontId="2"/>
  </si>
  <si>
    <t>←支給額（機構等）</t>
    <rPh sb="1" eb="4">
      <t>シキュウガク</t>
    </rPh>
    <rPh sb="5" eb="7">
      <t>キコウ</t>
    </rPh>
    <rPh sb="7" eb="8">
      <t>トウ</t>
    </rPh>
    <phoneticPr fontId="2"/>
  </si>
  <si>
    <t>←停止額（当組合）</t>
    <rPh sb="1" eb="3">
      <t>テイシ</t>
    </rPh>
    <rPh sb="3" eb="4">
      <t>ガク</t>
    </rPh>
    <rPh sb="5" eb="6">
      <t>トウ</t>
    </rPh>
    <rPh sb="6" eb="8">
      <t>クミアイ</t>
    </rPh>
    <phoneticPr fontId="2"/>
  </si>
  <si>
    <t>←支給額（当組合）</t>
    <rPh sb="1" eb="4">
      <t>シキュウガク</t>
    </rPh>
    <rPh sb="5" eb="6">
      <t>トウ</t>
    </rPh>
    <rPh sb="6" eb="8">
      <t>クミアイ</t>
    </rPh>
    <phoneticPr fontId="2"/>
  </si>
  <si>
    <t>標準賞与額</t>
    <rPh sb="0" eb="2">
      <t>ヒョウジュン</t>
    </rPh>
    <rPh sb="2" eb="4">
      <t>ショウヨ</t>
    </rPh>
    <rPh sb="4" eb="5">
      <t>ガク</t>
    </rPh>
    <phoneticPr fontId="2"/>
  </si>
  <si>
    <t>決定年金額</t>
    <rPh sb="0" eb="2">
      <t>ケッテイ</t>
    </rPh>
    <rPh sb="2" eb="4">
      <t>ネンキン</t>
    </rPh>
    <rPh sb="4" eb="5">
      <t>ガク</t>
    </rPh>
    <phoneticPr fontId="2"/>
  </si>
  <si>
    <t>職域部分</t>
    <rPh sb="0" eb="2">
      <t>ショクイキ</t>
    </rPh>
    <rPh sb="2" eb="4">
      <t>ブブン</t>
    </rPh>
    <phoneticPr fontId="2"/>
  </si>
  <si>
    <t>基本年額</t>
    <rPh sb="0" eb="2">
      <t>キホン</t>
    </rPh>
    <rPh sb="2" eb="4">
      <t>ネンガク</t>
    </rPh>
    <phoneticPr fontId="2"/>
  </si>
  <si>
    <t>〃</t>
    <phoneticPr fontId="2"/>
  </si>
  <si>
    <t>　</t>
    <phoneticPr fontId="2"/>
  </si>
  <si>
    <t>本則算定</t>
    <rPh sb="0" eb="2">
      <t>ホンソク</t>
    </rPh>
    <rPh sb="2" eb="4">
      <t>サンテイ</t>
    </rPh>
    <phoneticPr fontId="2"/>
  </si>
  <si>
    <t>停止額</t>
    <rPh sb="0" eb="2">
      <t>テイシ</t>
    </rPh>
    <rPh sb="2" eb="3">
      <t>ガク</t>
    </rPh>
    <phoneticPr fontId="2"/>
  </si>
  <si>
    <t>厚年分</t>
    <rPh sb="0" eb="2">
      <t>コウネン</t>
    </rPh>
    <rPh sb="2" eb="3">
      <t>ブン</t>
    </rPh>
    <phoneticPr fontId="2"/>
  </si>
  <si>
    <t>共年分</t>
    <rPh sb="0" eb="1">
      <t>キョウ</t>
    </rPh>
    <rPh sb="1" eb="3">
      <t>ネンブン</t>
    </rPh>
    <phoneticPr fontId="2"/>
  </si>
  <si>
    <t>35万円算定</t>
    <rPh sb="2" eb="4">
      <t>マンエン</t>
    </rPh>
    <rPh sb="4" eb="6">
      <t>サンテイ</t>
    </rPh>
    <phoneticPr fontId="2"/>
  </si>
  <si>
    <t>10％算定</t>
    <rPh sb="3" eb="5">
      <t>サンテイ</t>
    </rPh>
    <phoneticPr fontId="2"/>
  </si>
  <si>
    <t>1/12</t>
    <phoneticPr fontId="2"/>
  </si>
  <si>
    <t>右隣シート（算定シート１）からの移行表示</t>
    <rPh sb="0" eb="1">
      <t>ミギ</t>
    </rPh>
    <rPh sb="1" eb="2">
      <t>トナリ</t>
    </rPh>
    <rPh sb="6" eb="8">
      <t>サンテイ</t>
    </rPh>
    <rPh sb="16" eb="18">
      <t>イコウ</t>
    </rPh>
    <rPh sb="18" eb="20">
      <t>ヒョウジ</t>
    </rPh>
    <phoneticPr fontId="2"/>
  </si>
  <si>
    <t>共年</t>
    <rPh sb="0" eb="1">
      <t>キョウ</t>
    </rPh>
    <rPh sb="1" eb="2">
      <t>ネン</t>
    </rPh>
    <phoneticPr fontId="2"/>
  </si>
  <si>
    <t>厚年</t>
    <rPh sb="0" eb="2">
      <t>コウネン</t>
    </rPh>
    <phoneticPr fontId="2"/>
  </si>
  <si>
    <t>年金＋給与</t>
    <rPh sb="0" eb="2">
      <t>ネンキン</t>
    </rPh>
    <phoneticPr fontId="2"/>
  </si>
  <si>
    <t>年金額</t>
    <rPh sb="0" eb="3">
      <t>ネンキンガク</t>
    </rPh>
    <phoneticPr fontId="2"/>
  </si>
  <si>
    <t>停止基準額</t>
    <rPh sb="0" eb="2">
      <t>テイシ</t>
    </rPh>
    <rPh sb="2" eb="4">
      <t>キジュン</t>
    </rPh>
    <rPh sb="4" eb="5">
      <t>ガク</t>
    </rPh>
    <phoneticPr fontId="2"/>
  </si>
  <si>
    <t>停止算定額額</t>
    <rPh sb="0" eb="2">
      <t>テイシ</t>
    </rPh>
    <rPh sb="2" eb="4">
      <t>サンテイ</t>
    </rPh>
    <rPh sb="4" eb="5">
      <t>ガク</t>
    </rPh>
    <rPh sb="5" eb="6">
      <t>ガク</t>
    </rPh>
    <phoneticPr fontId="2"/>
  </si>
  <si>
    <t>停止額（上限調整後）</t>
    <rPh sb="0" eb="2">
      <t>テイシ</t>
    </rPh>
    <rPh sb="2" eb="3">
      <t>ガク</t>
    </rPh>
    <rPh sb="4" eb="6">
      <t>ジョウゲン</t>
    </rPh>
    <rPh sb="6" eb="8">
      <t>チョウセイ</t>
    </rPh>
    <rPh sb="8" eb="9">
      <t>ゴ</t>
    </rPh>
    <phoneticPr fontId="2"/>
  </si>
  <si>
    <t>停止額（0調整）</t>
    <rPh sb="0" eb="2">
      <t>テイシ</t>
    </rPh>
    <rPh sb="2" eb="3">
      <t>ガク</t>
    </rPh>
    <rPh sb="5" eb="7">
      <t>チョウセイ</t>
    </rPh>
    <phoneticPr fontId="2"/>
  </si>
  <si>
    <t>総収入（左除）</t>
    <rPh sb="0" eb="3">
      <t>ソウシュウニュウ</t>
    </rPh>
    <rPh sb="4" eb="5">
      <t>サ</t>
    </rPh>
    <rPh sb="5" eb="6">
      <t>ノゾ</t>
    </rPh>
    <phoneticPr fontId="2"/>
  </si>
  <si>
    <t>調整後</t>
    <rPh sb="0" eb="3">
      <t>チョウセイゴ</t>
    </rPh>
    <phoneticPr fontId="2"/>
  </si>
  <si>
    <t>調整中</t>
    <rPh sb="0" eb="2">
      <t>チョウセイ</t>
    </rPh>
    <rPh sb="2" eb="3">
      <t>ナカ</t>
    </rPh>
    <phoneticPr fontId="2"/>
  </si>
  <si>
    <t>停止額（計）</t>
    <rPh sb="0" eb="2">
      <t>テイシ</t>
    </rPh>
    <rPh sb="2" eb="3">
      <t>ガク</t>
    </rPh>
    <rPh sb="4" eb="5">
      <t>ケイ</t>
    </rPh>
    <phoneticPr fontId="2"/>
  </si>
  <si>
    <t>総収入</t>
    <rPh sb="0" eb="3">
      <t>ソウシュウニュウ</t>
    </rPh>
    <phoneticPr fontId="2"/>
  </si>
  <si>
    <t>－</t>
    <phoneticPr fontId="2"/>
  </si>
  <si>
    <t>従前算定停止額</t>
    <rPh sb="0" eb="2">
      <t>ジュウゼン</t>
    </rPh>
    <rPh sb="2" eb="4">
      <t>サンテイ</t>
    </rPh>
    <rPh sb="4" eb="6">
      <t>テイシ</t>
    </rPh>
    <rPh sb="6" eb="7">
      <t>ガク</t>
    </rPh>
    <phoneticPr fontId="2"/>
  </si>
  <si>
    <t>従前算定
停止額</t>
    <rPh sb="0" eb="2">
      <t>ジュウゼン</t>
    </rPh>
    <rPh sb="2" eb="4">
      <t>サンテイ</t>
    </rPh>
    <rPh sb="5" eb="7">
      <t>テイシ</t>
    </rPh>
    <rPh sb="7" eb="8">
      <t>ガク</t>
    </rPh>
    <phoneticPr fontId="2"/>
  </si>
  <si>
    <t>本則算定
停止額</t>
    <rPh sb="0" eb="2">
      <t>ホンソク</t>
    </rPh>
    <rPh sb="2" eb="4">
      <t>サンテイ</t>
    </rPh>
    <rPh sb="5" eb="7">
      <t>テイシ</t>
    </rPh>
    <rPh sb="7" eb="8">
      <t>ガク</t>
    </rPh>
    <phoneticPr fontId="2"/>
  </si>
  <si>
    <t>10％算定
停止額</t>
    <rPh sb="3" eb="5">
      <t>サンテイ</t>
    </rPh>
    <rPh sb="6" eb="8">
      <t>テイシ</t>
    </rPh>
    <rPh sb="8" eb="9">
      <t>ガク</t>
    </rPh>
    <phoneticPr fontId="2"/>
  </si>
  <si>
    <t>（情報交換）</t>
    <rPh sb="1" eb="3">
      <t>ジョウホウ</t>
    </rPh>
    <rPh sb="3" eb="5">
      <t>コウカン</t>
    </rPh>
    <phoneticPr fontId="2"/>
  </si>
  <si>
    <t>厚年</t>
    <phoneticPr fontId="2"/>
  </si>
  <si>
    <t>（ダンプ）</t>
    <phoneticPr fontId="2"/>
  </si>
  <si>
    <t>経過的加算</t>
    <rPh sb="0" eb="3">
      <t>ケイカテキ</t>
    </rPh>
    <rPh sb="3" eb="5">
      <t>カサン</t>
    </rPh>
    <phoneticPr fontId="2"/>
  </si>
  <si>
    <t>給与</t>
    <rPh sb="0" eb="2">
      <t>キュウヨ</t>
    </rPh>
    <phoneticPr fontId="2"/>
  </si>
  <si>
    <t>（交換ｼｽﾃﾑ）</t>
    <rPh sb="1" eb="3">
      <t>コウカン</t>
    </rPh>
    <phoneticPr fontId="2"/>
  </si>
  <si>
    <r>
      <t>⑪</t>
    </r>
    <r>
      <rPr>
        <sz val="11"/>
        <color rgb="FFC00000"/>
        <rFont val="ＭＳ Ｐゴシック"/>
        <family val="3"/>
        <charset val="128"/>
        <scheme val="minor"/>
      </rPr>
      <t>←気にしなくてもよい（駒崎説）</t>
    </r>
    <rPh sb="2" eb="3">
      <t>キ</t>
    </rPh>
    <rPh sb="12" eb="14">
      <t>コマザキ</t>
    </rPh>
    <rPh sb="14" eb="15">
      <t>セツ</t>
    </rPh>
    <phoneticPr fontId="2"/>
  </si>
  <si>
    <t>ー</t>
    <phoneticPr fontId="2"/>
  </si>
  <si>
    <t>２．確認箇所</t>
    <rPh sb="2" eb="4">
      <t>カクニン</t>
    </rPh>
    <rPh sb="4" eb="6">
      <t>カショ</t>
    </rPh>
    <phoneticPr fontId="2"/>
  </si>
  <si>
    <t>１．数値入力箇所</t>
    <rPh sb="2" eb="4">
      <t>スウチ</t>
    </rPh>
    <rPh sb="4" eb="6">
      <t>ニュウリョク</t>
    </rPh>
    <rPh sb="6" eb="8">
      <t>カショ</t>
    </rPh>
    <phoneticPr fontId="2"/>
  </si>
  <si>
    <t>1：議員・共済加入者</t>
    <rPh sb="2" eb="4">
      <t>ギイン</t>
    </rPh>
    <rPh sb="4" eb="6">
      <t>イチギイン</t>
    </rPh>
    <rPh sb="5" eb="7">
      <t>キョウサイ</t>
    </rPh>
    <rPh sb="7" eb="10">
      <t>カニュウシャ</t>
    </rPh>
    <phoneticPr fontId="2"/>
  </si>
  <si>
    <t>0：一般</t>
    <rPh sb="2" eb="4">
      <t>イッパン</t>
    </rPh>
    <phoneticPr fontId="2"/>
  </si>
  <si>
    <t>再就職状況</t>
    <rPh sb="0" eb="3">
      <t>サイシュウショク</t>
    </rPh>
    <rPh sb="3" eb="5">
      <t>ジョウキョウ</t>
    </rPh>
    <phoneticPr fontId="2"/>
  </si>
  <si>
    <t>厚年</t>
    <rPh sb="0" eb="2">
      <t>コウネン</t>
    </rPh>
    <phoneticPr fontId="2"/>
  </si>
  <si>
    <t>共年</t>
    <rPh sb="0" eb="1">
      <t>キョウ</t>
    </rPh>
    <rPh sb="1" eb="2">
      <t>ネン</t>
    </rPh>
    <phoneticPr fontId="2"/>
  </si>
  <si>
    <t>一般</t>
    <rPh sb="0" eb="2">
      <t>イッパン</t>
    </rPh>
    <phoneticPr fontId="2"/>
  </si>
  <si>
    <t>議員等</t>
    <rPh sb="0" eb="2">
      <t>ギイン</t>
    </rPh>
    <rPh sb="2" eb="3">
      <t>トウ</t>
    </rPh>
    <phoneticPr fontId="2"/>
  </si>
  <si>
    <t>ｓ12.4.1以前</t>
    <rPh sb="7" eb="9">
      <t>イゼン</t>
    </rPh>
    <phoneticPr fontId="2"/>
  </si>
  <si>
    <t>←以下のとおり入力</t>
    <rPh sb="1" eb="3">
      <t>イカ</t>
    </rPh>
    <rPh sb="7" eb="9">
      <t>ニュウリョク</t>
    </rPh>
    <phoneticPr fontId="2"/>
  </si>
  <si>
    <t>ダンプ表示</t>
    <rPh sb="3" eb="5">
      <t>ヒョウジ</t>
    </rPh>
    <phoneticPr fontId="2"/>
  </si>
  <si>
    <t>2：S12.4.1以前生まれ</t>
    <rPh sb="9" eb="11">
      <t>イゼン</t>
    </rPh>
    <rPh sb="11" eb="12">
      <t>ウ</t>
    </rPh>
    <phoneticPr fontId="2"/>
  </si>
  <si>
    <t>　</t>
    <phoneticPr fontId="2"/>
  </si>
  <si>
    <t>月額</t>
    <rPh sb="0" eb="2">
      <t>ゲツガク</t>
    </rPh>
    <phoneticPr fontId="2"/>
  </si>
  <si>
    <t>　</t>
    <phoneticPr fontId="2"/>
  </si>
  <si>
    <t>合計（月額）</t>
    <rPh sb="0" eb="2">
      <t>ゴウケイ</t>
    </rPh>
    <rPh sb="3" eb="4">
      <t>ガツ</t>
    </rPh>
    <rPh sb="4" eb="5">
      <t>ガク</t>
    </rPh>
    <phoneticPr fontId="2"/>
  </si>
  <si>
    <t>合計（月額）</t>
    <rPh sb="0" eb="2">
      <t>ゴウケイ</t>
    </rPh>
    <rPh sb="3" eb="5">
      <t>ゲツガク</t>
    </rPh>
    <phoneticPr fontId="2"/>
  </si>
  <si>
    <t>←月額合計</t>
    <rPh sb="1" eb="3">
      <t>ゲツガク</t>
    </rPh>
    <rPh sb="3" eb="5">
      <t>ゴウケイ</t>
    </rPh>
    <phoneticPr fontId="2"/>
  </si>
  <si>
    <t>共年分（月額）</t>
    <rPh sb="0" eb="1">
      <t>キョウ</t>
    </rPh>
    <rPh sb="1" eb="3">
      <t>ネンブン</t>
    </rPh>
    <rPh sb="4" eb="6">
      <t>ゲツガク</t>
    </rPh>
    <phoneticPr fontId="2"/>
  </si>
  <si>
    <t>厚年分（月額）</t>
    <rPh sb="0" eb="2">
      <t>コウネン</t>
    </rPh>
    <rPh sb="2" eb="3">
      <t>ブン</t>
    </rPh>
    <rPh sb="4" eb="6">
      <t>ゲツガク</t>
    </rPh>
    <phoneticPr fontId="2"/>
  </si>
  <si>
    <t>→年額</t>
    <rPh sb="1" eb="3">
      <t>ネンガク</t>
    </rPh>
    <phoneticPr fontId="2"/>
  </si>
  <si>
    <t>支給額</t>
    <rPh sb="0" eb="2">
      <t>シキュウ</t>
    </rPh>
    <rPh sb="2" eb="3">
      <t>ガク</t>
    </rPh>
    <phoneticPr fontId="2"/>
  </si>
  <si>
    <t>停止額</t>
    <rPh sb="0" eb="2">
      <t>テイシ</t>
    </rPh>
    <rPh sb="2" eb="3">
      <t>ガク</t>
    </rPh>
    <phoneticPr fontId="2"/>
  </si>
  <si>
    <t>＋</t>
    <phoneticPr fontId="2"/>
  </si>
  <si>
    <t>＝</t>
    <phoneticPr fontId="2"/>
  </si>
  <si>
    <t>〔</t>
    <phoneticPr fontId="2"/>
  </si>
  <si>
    <t>賃金</t>
    <rPh sb="0" eb="2">
      <t>チンギン</t>
    </rPh>
    <phoneticPr fontId="2"/>
  </si>
  <si>
    <t>老厚年の停止額</t>
    <rPh sb="0" eb="1">
      <t>ロウ</t>
    </rPh>
    <rPh sb="1" eb="3">
      <t>コウネン</t>
    </rPh>
    <rPh sb="4" eb="6">
      <t>テイシ</t>
    </rPh>
    <rPh sb="6" eb="7">
      <t>ガク</t>
    </rPh>
    <phoneticPr fontId="2"/>
  </si>
  <si>
    <t>決定年金額（年額）</t>
    <rPh sb="0" eb="2">
      <t>ケッテイ</t>
    </rPh>
    <rPh sb="2" eb="5">
      <t>ネンキンガク</t>
    </rPh>
    <rPh sb="6" eb="8">
      <t>ネンガク</t>
    </rPh>
    <phoneticPr fontId="2"/>
  </si>
  <si>
    <t>（円単位未満切捨）</t>
    <rPh sb="1" eb="2">
      <t>エン</t>
    </rPh>
    <rPh sb="2" eb="4">
      <t>タンイ</t>
    </rPh>
    <rPh sb="4" eb="6">
      <t>ミマン</t>
    </rPh>
    <rPh sb="6" eb="7">
      <t>キリ</t>
    </rPh>
    <rPh sb="7" eb="8">
      <t>シモギリ</t>
    </rPh>
    <phoneticPr fontId="2"/>
  </si>
  <si>
    <t>算定額</t>
    <rPh sb="0" eb="2">
      <t>サンテイ</t>
    </rPh>
    <rPh sb="2" eb="3">
      <t>ガク</t>
    </rPh>
    <phoneticPr fontId="2"/>
  </si>
  <si>
    <t>×</t>
    <phoneticPr fontId="2"/>
  </si>
  <si>
    <t>／</t>
    <phoneticPr fontId="2"/>
  </si>
  <si>
    <t>停止額（月額）</t>
    <rPh sb="0" eb="2">
      <t>テイシ</t>
    </rPh>
    <rPh sb="2" eb="3">
      <t>ガク</t>
    </rPh>
    <rPh sb="4" eb="6">
      <t>ゲツガク</t>
    </rPh>
    <phoneticPr fontId="2"/>
  </si>
  <si>
    <t>停止額（年額）</t>
    <rPh sb="0" eb="2">
      <t>テイシ</t>
    </rPh>
    <rPh sb="2" eb="3">
      <t>ガク</t>
    </rPh>
    <rPh sb="4" eb="6">
      <t>ネンガク</t>
    </rPh>
    <phoneticPr fontId="2"/>
  </si>
  <si>
    <t>※ この算定式は、簡略的に示している部分があるため、端数部分が合わない可能性があります。</t>
    <rPh sb="4" eb="6">
      <t>サンテイ</t>
    </rPh>
    <rPh sb="6" eb="7">
      <t>シキ</t>
    </rPh>
    <rPh sb="9" eb="12">
      <t>カンリャクテキ</t>
    </rPh>
    <rPh sb="13" eb="14">
      <t>シメ</t>
    </rPh>
    <rPh sb="18" eb="20">
      <t>ブブン</t>
    </rPh>
    <rPh sb="26" eb="28">
      <t>ハスウ</t>
    </rPh>
    <rPh sb="28" eb="30">
      <t>ブブン</t>
    </rPh>
    <rPh sb="31" eb="32">
      <t>ア</t>
    </rPh>
    <rPh sb="35" eb="38">
      <t>カノウセイ</t>
    </rPh>
    <phoneticPr fontId="2"/>
  </si>
  <si>
    <t>４７万円〕  ×  １／２</t>
    <rPh sb="2" eb="4">
      <t>マンエン</t>
    </rPh>
    <phoneticPr fontId="2"/>
  </si>
  <si>
    <t>数値入力箇所</t>
    <rPh sb="0" eb="2">
      <t>スウチ</t>
    </rPh>
    <rPh sb="2" eb="4">
      <t>ニュウリョク</t>
    </rPh>
    <rPh sb="4" eb="6">
      <t>カショ</t>
    </rPh>
    <phoneticPr fontId="2"/>
  </si>
  <si>
    <t>65歳以上（入力箇所なし）</t>
    <rPh sb="2" eb="5">
      <t>サイイジョウ</t>
    </rPh>
    <rPh sb="6" eb="8">
      <t>ニュウリョク</t>
    </rPh>
    <rPh sb="8" eb="10">
      <t>カショ</t>
    </rPh>
    <phoneticPr fontId="2"/>
  </si>
  <si>
    <t>経過的加算（年額）</t>
    <rPh sb="0" eb="3">
      <t>ケイカテキ</t>
    </rPh>
    <rPh sb="3" eb="5">
      <t>カサン</t>
    </rPh>
    <rPh sb="6" eb="8">
      <t>ネンガク</t>
    </rPh>
    <phoneticPr fontId="2"/>
  </si>
  <si>
    <t>加給年金額（年額）</t>
    <rPh sb="0" eb="2">
      <t>カキュウ</t>
    </rPh>
    <rPh sb="2" eb="5">
      <t>ネンキンガク</t>
    </rPh>
    <rPh sb="6" eb="8">
      <t>ネンガク</t>
    </rPh>
    <phoneticPr fontId="2"/>
  </si>
  <si>
    <t>65歳以上</t>
    <rPh sb="2" eb="5">
      <t>サイイジョウ</t>
    </rPh>
    <phoneticPr fontId="2"/>
  </si>
  <si>
    <t xml:space="preserve"> </t>
    <phoneticPr fontId="2"/>
  </si>
  <si>
    <t>+〔</t>
    <phoneticPr fontId="2"/>
  </si>
  <si>
    <t>＋</t>
    <phoneticPr fontId="2"/>
  </si>
  <si>
    <t>〕×１／１２</t>
    <phoneticPr fontId="2"/>
  </si>
  <si>
    <t>＝</t>
    <phoneticPr fontId="2"/>
  </si>
  <si>
    <t>〔</t>
    <phoneticPr fontId="2"/>
  </si>
  <si>
    <t>－</t>
    <phoneticPr fontId="2"/>
  </si>
  <si>
    <t>〕 × １／１２  ＝</t>
    <phoneticPr fontId="2"/>
  </si>
  <si>
    <t xml:space="preserve"> </t>
    <phoneticPr fontId="2"/>
  </si>
  <si>
    <t>×１／１２＝</t>
    <phoneticPr fontId="2"/>
  </si>
  <si>
    <t>　</t>
    <phoneticPr fontId="2"/>
  </si>
  <si>
    <t>＝</t>
    <phoneticPr fontId="2"/>
  </si>
  <si>
    <t>－</t>
    <phoneticPr fontId="2"/>
  </si>
  <si>
    <t>＝</t>
    <phoneticPr fontId="2"/>
  </si>
  <si>
    <t>×</t>
    <phoneticPr fontId="2"/>
  </si>
  <si>
    <t>／</t>
    <phoneticPr fontId="2"/>
  </si>
  <si>
    <t>「0」調整</t>
    <rPh sb="3" eb="5">
      <t>チョウセイ</t>
    </rPh>
    <phoneticPr fontId="2"/>
  </si>
  <si>
    <t>選択調整</t>
    <rPh sb="0" eb="2">
      <t>センタク</t>
    </rPh>
    <rPh sb="2" eb="4">
      <t>チョウセイ</t>
    </rPh>
    <phoneticPr fontId="2"/>
  </si>
  <si>
    <t>賃金算定</t>
    <rPh sb="0" eb="2">
      <t>チンギン</t>
    </rPh>
    <rPh sb="2" eb="4">
      <t>サンテイ</t>
    </rPh>
    <phoneticPr fontId="2"/>
  </si>
  <si>
    <t>年金算定</t>
    <rPh sb="0" eb="2">
      <t>ネンキン</t>
    </rPh>
    <rPh sb="2" eb="4">
      <t>サンテイ</t>
    </rPh>
    <phoneticPr fontId="2"/>
  </si>
  <si>
    <t>停止額算定</t>
    <rPh sb="0" eb="2">
      <t>テイシ</t>
    </rPh>
    <rPh sb="2" eb="3">
      <t>ガク</t>
    </rPh>
    <rPh sb="3" eb="5">
      <t>サンテイ</t>
    </rPh>
    <phoneticPr fontId="2"/>
  </si>
  <si>
    <t>1：停止対象</t>
    <rPh sb="2" eb="4">
      <t>テイシ</t>
    </rPh>
    <rPh sb="4" eb="6">
      <t>タイショウ</t>
    </rPh>
    <phoneticPr fontId="2"/>
  </si>
  <si>
    <t>加給の停止</t>
    <rPh sb="0" eb="2">
      <t>カキュウ</t>
    </rPh>
    <rPh sb="3" eb="5">
      <t>テイシ</t>
    </rPh>
    <phoneticPr fontId="2"/>
  </si>
  <si>
    <t>なし</t>
    <phoneticPr fontId="2"/>
  </si>
  <si>
    <t>私学</t>
    <rPh sb="0" eb="2">
      <t>シガク</t>
    </rPh>
    <phoneticPr fontId="2"/>
  </si>
  <si>
    <t>←調整不可</t>
    <rPh sb="1" eb="3">
      <t>チョウセイ</t>
    </rPh>
    <rPh sb="3" eb="5">
      <t>フカ</t>
    </rPh>
    <phoneticPr fontId="2"/>
  </si>
  <si>
    <t>支給額（年額）</t>
    <rPh sb="0" eb="3">
      <t>シキュウガク</t>
    </rPh>
    <rPh sb="4" eb="6">
      <t>ネンガク</t>
    </rPh>
    <phoneticPr fontId="2"/>
  </si>
  <si>
    <t>－</t>
    <phoneticPr fontId="2"/>
  </si>
  <si>
    <t>＝</t>
    <phoneticPr fontId="2"/>
  </si>
  <si>
    <t>（参考）</t>
    <rPh sb="1" eb="3">
      <t>サンコウ</t>
    </rPh>
    <phoneticPr fontId="2"/>
  </si>
  <si>
    <t>経過的職域を含めた支給額</t>
    <rPh sb="0" eb="2">
      <t>ケイカ</t>
    </rPh>
    <rPh sb="2" eb="3">
      <t>テキ</t>
    </rPh>
    <rPh sb="3" eb="5">
      <t>ショクイキ</t>
    </rPh>
    <rPh sb="6" eb="7">
      <t>フク</t>
    </rPh>
    <rPh sb="9" eb="11">
      <t>シキュウ</t>
    </rPh>
    <rPh sb="11" eb="12">
      <t>ガク</t>
    </rPh>
    <phoneticPr fontId="2"/>
  </si>
  <si>
    <t>合計額</t>
    <rPh sb="0" eb="2">
      <t>ゴウケイ</t>
    </rPh>
    <rPh sb="2" eb="3">
      <t>ガク</t>
    </rPh>
    <phoneticPr fontId="2"/>
  </si>
  <si>
    <t>＋</t>
    <phoneticPr fontId="2"/>
  </si>
  <si>
    <t>経過的職域</t>
    <rPh sb="0" eb="3">
      <t>ケイカテキ</t>
    </rPh>
    <rPh sb="3" eb="5">
      <t>ショクイキ</t>
    </rPh>
    <phoneticPr fontId="2"/>
  </si>
  <si>
    <t>按分算定（特別）</t>
    <rPh sb="0" eb="2">
      <t>アンブン</t>
    </rPh>
    <rPh sb="2" eb="4">
      <t>サンテイ</t>
    </rPh>
    <rPh sb="5" eb="7">
      <t>トクベツ</t>
    </rPh>
    <phoneticPr fontId="2"/>
  </si>
  <si>
    <t>４．停止額、支給額の年額</t>
    <rPh sb="2" eb="4">
      <t>テイシ</t>
    </rPh>
    <rPh sb="4" eb="5">
      <t>ガク</t>
    </rPh>
    <rPh sb="6" eb="9">
      <t>シキュウガク</t>
    </rPh>
    <rPh sb="10" eb="12">
      <t>ネンガク</t>
    </rPh>
    <phoneticPr fontId="2"/>
  </si>
  <si>
    <t>１．賃金額、年金額の月額</t>
    <rPh sb="2" eb="5">
      <t>チンギンガク</t>
    </rPh>
    <rPh sb="6" eb="9">
      <t>ネンキンガク</t>
    </rPh>
    <rPh sb="10" eb="12">
      <t>ゲツガク</t>
    </rPh>
    <phoneticPr fontId="2"/>
  </si>
  <si>
    <t>２．停止額の算定（月額）</t>
    <rPh sb="2" eb="4">
      <t>テイシ</t>
    </rPh>
    <rPh sb="4" eb="5">
      <t>ガク</t>
    </rPh>
    <rPh sb="6" eb="8">
      <t>サンテイ</t>
    </rPh>
    <rPh sb="9" eb="11">
      <t>ゲツガク</t>
    </rPh>
    <phoneticPr fontId="2"/>
  </si>
  <si>
    <t>月額合計額</t>
    <rPh sb="0" eb="2">
      <t>ゲツガク</t>
    </rPh>
    <rPh sb="2" eb="4">
      <t>ゴウケイ</t>
    </rPh>
    <rPh sb="4" eb="5">
      <t>ガク</t>
    </rPh>
    <phoneticPr fontId="2"/>
  </si>
  <si>
    <t>停止額（合計）</t>
    <rPh sb="0" eb="2">
      <t>テイシ</t>
    </rPh>
    <rPh sb="2" eb="3">
      <t>ガク</t>
    </rPh>
    <rPh sb="4" eb="6">
      <t>ゴウケイ</t>
    </rPh>
    <phoneticPr fontId="2"/>
  </si>
  <si>
    <t>その他の停止額</t>
    <rPh sb="2" eb="3">
      <t>タ</t>
    </rPh>
    <rPh sb="4" eb="6">
      <t>テイシ</t>
    </rPh>
    <rPh sb="6" eb="7">
      <t>ガク</t>
    </rPh>
    <phoneticPr fontId="2"/>
  </si>
  <si>
    <t>1：現職組合員</t>
    <rPh sb="2" eb="4">
      <t>ゲンショク</t>
    </rPh>
    <rPh sb="4" eb="6">
      <t>クミアイ</t>
    </rPh>
    <rPh sb="6" eb="7">
      <t>イン</t>
    </rPh>
    <phoneticPr fontId="2"/>
  </si>
  <si>
    <t>年金種別</t>
    <rPh sb="0" eb="2">
      <t>ネンキン</t>
    </rPh>
    <rPh sb="2" eb="4">
      <t>シュベツ</t>
    </rPh>
    <phoneticPr fontId="2"/>
  </si>
  <si>
    <t>事由</t>
    <rPh sb="0" eb="2">
      <t>ジユウ</t>
    </rPh>
    <phoneticPr fontId="2"/>
  </si>
  <si>
    <t>（本老厚）</t>
    <rPh sb="1" eb="2">
      <t>ホン</t>
    </rPh>
    <rPh sb="2" eb="3">
      <t>ロウ</t>
    </rPh>
    <rPh sb="3" eb="4">
      <t>アツシ</t>
    </rPh>
    <phoneticPr fontId="2"/>
  </si>
  <si>
    <t>賃金（総報酬月額相当額）</t>
    <rPh sb="0" eb="2">
      <t>チンギン</t>
    </rPh>
    <rPh sb="3" eb="4">
      <t>ソウ</t>
    </rPh>
    <rPh sb="4" eb="6">
      <t>ホウシュウ</t>
    </rPh>
    <rPh sb="6" eb="8">
      <t>ゲツガク</t>
    </rPh>
    <rPh sb="8" eb="10">
      <t>ソウトウ</t>
    </rPh>
    <rPh sb="10" eb="11">
      <t>ガク</t>
    </rPh>
    <phoneticPr fontId="2"/>
  </si>
  <si>
    <t>第１号老厚年</t>
    <rPh sb="0" eb="1">
      <t>ダイ</t>
    </rPh>
    <rPh sb="2" eb="3">
      <t>ゴウ</t>
    </rPh>
    <rPh sb="3" eb="4">
      <t>ロウ</t>
    </rPh>
    <rPh sb="4" eb="6">
      <t>コウネン</t>
    </rPh>
    <phoneticPr fontId="2"/>
  </si>
  <si>
    <t>第３号老厚年</t>
    <rPh sb="0" eb="1">
      <t>ダイ</t>
    </rPh>
    <rPh sb="2" eb="3">
      <t>ゴウ</t>
    </rPh>
    <rPh sb="3" eb="4">
      <t>ロウ</t>
    </rPh>
    <rPh sb="4" eb="6">
      <t>コウネン</t>
    </rPh>
    <phoneticPr fontId="2"/>
  </si>
  <si>
    <t>第４号老厚年</t>
    <rPh sb="0" eb="1">
      <t>ダイ</t>
    </rPh>
    <rPh sb="2" eb="3">
      <t>ゴウ</t>
    </rPh>
    <rPh sb="3" eb="4">
      <t>ロウ</t>
    </rPh>
    <rPh sb="4" eb="6">
      <t>コウネン</t>
    </rPh>
    <phoneticPr fontId="2"/>
  </si>
  <si>
    <t>第３号老厚年の停止額　</t>
    <rPh sb="0" eb="1">
      <t>ダイ</t>
    </rPh>
    <rPh sb="2" eb="3">
      <t>ゴウ</t>
    </rPh>
    <rPh sb="3" eb="4">
      <t>ロウ</t>
    </rPh>
    <rPh sb="4" eb="6">
      <t>コウネン</t>
    </rPh>
    <rPh sb="7" eb="9">
      <t>テイシ</t>
    </rPh>
    <rPh sb="9" eb="10">
      <t>ガク</t>
    </rPh>
    <phoneticPr fontId="2"/>
  </si>
  <si>
    <t>第３号老厚年の停止額</t>
    <rPh sb="0" eb="1">
      <t>ダイ</t>
    </rPh>
    <rPh sb="2" eb="3">
      <t>ゴウ</t>
    </rPh>
    <rPh sb="3" eb="4">
      <t>ロウ</t>
    </rPh>
    <rPh sb="4" eb="6">
      <t>コウネン</t>
    </rPh>
    <rPh sb="7" eb="9">
      <t>テイシ</t>
    </rPh>
    <rPh sb="9" eb="10">
      <t>ガク</t>
    </rPh>
    <phoneticPr fontId="2"/>
  </si>
  <si>
    <t>第３号老厚年の支給額</t>
    <rPh sb="0" eb="1">
      <t>ダイ</t>
    </rPh>
    <rPh sb="2" eb="3">
      <t>ゴウ</t>
    </rPh>
    <rPh sb="3" eb="4">
      <t>ロウ</t>
    </rPh>
    <rPh sb="4" eb="6">
      <t>コウネン</t>
    </rPh>
    <rPh sb="7" eb="10">
      <t>シキュウガク</t>
    </rPh>
    <phoneticPr fontId="2"/>
  </si>
  <si>
    <t>１号厚年（月額）</t>
    <rPh sb="1" eb="2">
      <t>ゴウ</t>
    </rPh>
    <rPh sb="2" eb="4">
      <t>コウネン</t>
    </rPh>
    <rPh sb="5" eb="7">
      <t>ゲツガク</t>
    </rPh>
    <phoneticPr fontId="2"/>
  </si>
  <si>
    <t>３号厚年（月額）</t>
    <rPh sb="1" eb="2">
      <t>ゴウ</t>
    </rPh>
    <rPh sb="2" eb="4">
      <t>コウネン</t>
    </rPh>
    <rPh sb="5" eb="7">
      <t>ゲツガク</t>
    </rPh>
    <phoneticPr fontId="2"/>
  </si>
  <si>
    <t>４号厚年（月額）</t>
    <rPh sb="1" eb="2">
      <t>ゴウ</t>
    </rPh>
    <rPh sb="2" eb="4">
      <t>コウネン</t>
    </rPh>
    <rPh sb="5" eb="7">
      <t>ゲツガク</t>
    </rPh>
    <phoneticPr fontId="2"/>
  </si>
  <si>
    <t>３号厚年支給額</t>
    <rPh sb="1" eb="2">
      <t>ゴウ</t>
    </rPh>
    <rPh sb="2" eb="4">
      <t>コウネン</t>
    </rPh>
    <rPh sb="4" eb="7">
      <t>シキュウガク</t>
    </rPh>
    <phoneticPr fontId="2"/>
  </si>
  <si>
    <t>第１号老厚年・第３号老厚年・第４号老厚年とは、以下の年金支給です。
「第１号老厚年」…日本年金機構、「第３号老厚年」…当組合、「第４号老厚年」…日本私立学校共済振興・共済事業団</t>
    <rPh sb="0" eb="1">
      <t>ダイ</t>
    </rPh>
    <rPh sb="2" eb="3">
      <t>ゴウ</t>
    </rPh>
    <rPh sb="3" eb="4">
      <t>ロウ</t>
    </rPh>
    <rPh sb="4" eb="6">
      <t>コウネン</t>
    </rPh>
    <rPh sb="7" eb="8">
      <t>ダイ</t>
    </rPh>
    <rPh sb="9" eb="10">
      <t>ゴウ</t>
    </rPh>
    <rPh sb="10" eb="11">
      <t>ロウ</t>
    </rPh>
    <rPh sb="11" eb="13">
      <t>コウネン</t>
    </rPh>
    <rPh sb="14" eb="15">
      <t>ダイ</t>
    </rPh>
    <rPh sb="16" eb="17">
      <t>ゴウ</t>
    </rPh>
    <rPh sb="17" eb="18">
      <t>ロウ</t>
    </rPh>
    <rPh sb="18" eb="20">
      <t>コウネン</t>
    </rPh>
    <rPh sb="23" eb="25">
      <t>イカ</t>
    </rPh>
    <rPh sb="26" eb="28">
      <t>ネンキン</t>
    </rPh>
    <rPh sb="28" eb="30">
      <t>シキュウ</t>
    </rPh>
    <rPh sb="35" eb="36">
      <t>ダイ</t>
    </rPh>
    <rPh sb="37" eb="38">
      <t>ゴウ</t>
    </rPh>
    <rPh sb="38" eb="39">
      <t>ロウ</t>
    </rPh>
    <rPh sb="39" eb="41">
      <t>コウネン</t>
    </rPh>
    <rPh sb="43" eb="45">
      <t>ニホン</t>
    </rPh>
    <rPh sb="45" eb="47">
      <t>ネンキン</t>
    </rPh>
    <rPh sb="47" eb="49">
      <t>キコウ</t>
    </rPh>
    <rPh sb="51" eb="52">
      <t>ダイ</t>
    </rPh>
    <rPh sb="53" eb="54">
      <t>ゴウ</t>
    </rPh>
    <rPh sb="54" eb="55">
      <t>ロウ</t>
    </rPh>
    <rPh sb="55" eb="57">
      <t>コウネン</t>
    </rPh>
    <rPh sb="59" eb="60">
      <t>トウ</t>
    </rPh>
    <rPh sb="60" eb="62">
      <t>クミアイ</t>
    </rPh>
    <rPh sb="64" eb="65">
      <t>ダイ</t>
    </rPh>
    <rPh sb="66" eb="67">
      <t>ゴウ</t>
    </rPh>
    <rPh sb="67" eb="68">
      <t>ロウ</t>
    </rPh>
    <rPh sb="68" eb="70">
      <t>コウネン</t>
    </rPh>
    <rPh sb="72" eb="74">
      <t>ニホン</t>
    </rPh>
    <rPh sb="74" eb="76">
      <t>シリツ</t>
    </rPh>
    <rPh sb="76" eb="78">
      <t>ガッコウ</t>
    </rPh>
    <rPh sb="78" eb="80">
      <t>キョウサイ</t>
    </rPh>
    <rPh sb="80" eb="82">
      <t>シンコウ</t>
    </rPh>
    <rPh sb="83" eb="85">
      <t>キョウサイ</t>
    </rPh>
    <rPh sb="85" eb="88">
      <t>ジギョウダン</t>
    </rPh>
    <phoneticPr fontId="2"/>
  </si>
  <si>
    <t>３．停止額の按分算定（第３号老厚年部分）</t>
    <rPh sb="2" eb="4">
      <t>テイシ</t>
    </rPh>
    <rPh sb="4" eb="5">
      <t>ガク</t>
    </rPh>
    <rPh sb="6" eb="8">
      <t>アンブン</t>
    </rPh>
    <rPh sb="8" eb="10">
      <t>サンテイ</t>
    </rPh>
    <rPh sb="11" eb="12">
      <t>ダイ</t>
    </rPh>
    <rPh sb="13" eb="14">
      <t>ゴウ</t>
    </rPh>
    <rPh sb="14" eb="15">
      <t>ロウ</t>
    </rPh>
    <rPh sb="15" eb="17">
      <t>コウネン</t>
    </rPh>
    <rPh sb="17" eb="19">
      <t>ブブン</t>
    </rPh>
    <phoneticPr fontId="2"/>
  </si>
  <si>
    <t>第３号本老厚（標準システムの算定）</t>
    <rPh sb="0" eb="1">
      <t>ダイ</t>
    </rPh>
    <rPh sb="2" eb="3">
      <t>ゴウ</t>
    </rPh>
    <rPh sb="3" eb="4">
      <t>ホン</t>
    </rPh>
    <rPh sb="4" eb="5">
      <t>ロウ</t>
    </rPh>
    <rPh sb="5" eb="6">
      <t>アツシ</t>
    </rPh>
    <rPh sb="7" eb="9">
      <t>ヒョウジュン</t>
    </rPh>
    <rPh sb="14" eb="16">
      <t>サンテイ</t>
    </rPh>
    <phoneticPr fontId="2"/>
  </si>
  <si>
    <t>注：内部用</t>
    <rPh sb="0" eb="1">
      <t>チュウ</t>
    </rPh>
    <rPh sb="2" eb="5">
      <t>ナイブヨウ</t>
    </rPh>
    <phoneticPr fontId="2"/>
  </si>
  <si>
    <t>年額→</t>
    <rPh sb="0" eb="2">
      <t>ネンガク</t>
    </rPh>
    <phoneticPr fontId="2"/>
  </si>
  <si>
    <t>×　　　　　　１２　　　　　　　＝</t>
    <phoneticPr fontId="2"/>
  </si>
  <si>
    <t>（２）総報酬比例部分の年額</t>
    <rPh sb="3" eb="4">
      <t>ソウ</t>
    </rPh>
    <rPh sb="4" eb="6">
      <t>ホウシュウ</t>
    </rPh>
    <rPh sb="6" eb="8">
      <t>ヒレイ</t>
    </rPh>
    <rPh sb="8" eb="10">
      <t>ブブン</t>
    </rPh>
    <rPh sb="11" eb="13">
      <t>ネンガク</t>
    </rPh>
    <phoneticPr fontId="2"/>
  </si>
  <si>
    <t>（１）総報酬月額相当額の年額</t>
    <rPh sb="3" eb="4">
      <t>ソウ</t>
    </rPh>
    <rPh sb="4" eb="6">
      <t>ホウシュウ</t>
    </rPh>
    <rPh sb="6" eb="8">
      <t>ゲツガク</t>
    </rPh>
    <rPh sb="8" eb="10">
      <t>ソウトウ</t>
    </rPh>
    <rPh sb="10" eb="11">
      <t>ガク</t>
    </rPh>
    <rPh sb="12" eb="14">
      <t>ネンガク</t>
    </rPh>
    <phoneticPr fontId="2"/>
  </si>
  <si>
    <t>１号厚年</t>
    <rPh sb="1" eb="2">
      <t>ゴウ</t>
    </rPh>
    <rPh sb="2" eb="4">
      <t>コウネン</t>
    </rPh>
    <phoneticPr fontId="2"/>
  </si>
  <si>
    <t>３号厚年</t>
    <rPh sb="1" eb="2">
      <t>ゴウ</t>
    </rPh>
    <rPh sb="2" eb="4">
      <t>コウネン</t>
    </rPh>
    <phoneticPr fontId="2"/>
  </si>
  <si>
    <t>報酬比例部分（年額）</t>
    <rPh sb="0" eb="2">
      <t>ホウシュウ</t>
    </rPh>
    <rPh sb="2" eb="4">
      <t>ヒレイ</t>
    </rPh>
    <rPh sb="4" eb="6">
      <t>ブブン</t>
    </rPh>
    <rPh sb="7" eb="9">
      <t>ネンガク</t>
    </rPh>
    <phoneticPr fontId="2"/>
  </si>
  <si>
    <t>４号厚年</t>
    <rPh sb="1" eb="2">
      <t>ゴウ</t>
    </rPh>
    <rPh sb="2" eb="4">
      <t>コウネン</t>
    </rPh>
    <phoneticPr fontId="2"/>
  </si>
  <si>
    <t>（参考レベル）</t>
    <rPh sb="1" eb="3">
      <t>サンコウ</t>
    </rPh>
    <phoneticPr fontId="2"/>
  </si>
  <si>
    <t>３号厚年（A）</t>
    <rPh sb="1" eb="2">
      <t>ゴウ</t>
    </rPh>
    <rPh sb="2" eb="4">
      <t>コウネン</t>
    </rPh>
    <phoneticPr fontId="2"/>
  </si>
  <si>
    <t>１号月額</t>
    <rPh sb="1" eb="2">
      <t>ゴウ</t>
    </rPh>
    <rPh sb="2" eb="4">
      <t>ゲツガク</t>
    </rPh>
    <phoneticPr fontId="2"/>
  </si>
  <si>
    <t>３号月額</t>
    <rPh sb="1" eb="2">
      <t>ゴウ</t>
    </rPh>
    <rPh sb="2" eb="4">
      <t>ゲツガク</t>
    </rPh>
    <phoneticPr fontId="2"/>
  </si>
  <si>
    <t>４号月額</t>
    <rPh sb="1" eb="2">
      <t>ゴウ</t>
    </rPh>
    <rPh sb="2" eb="4">
      <t>ゲツガク</t>
    </rPh>
    <phoneticPr fontId="2"/>
  </si>
  <si>
    <t>１．賃金額、年金額</t>
    <rPh sb="2" eb="5">
      <t>チンギンガク</t>
    </rPh>
    <rPh sb="6" eb="9">
      <t>ネンキンガク</t>
    </rPh>
    <phoneticPr fontId="2"/>
  </si>
  <si>
    <t>２．停止額の算定</t>
    <rPh sb="2" eb="4">
      <t>テイシ</t>
    </rPh>
    <rPh sb="4" eb="5">
      <t>ガク</t>
    </rPh>
    <rPh sb="6" eb="8">
      <t>サンテイ</t>
    </rPh>
    <phoneticPr fontId="2"/>
  </si>
  <si>
    <t>総報酬年額相当額</t>
    <rPh sb="0" eb="1">
      <t>ソウ</t>
    </rPh>
    <rPh sb="1" eb="3">
      <t>ホウシュウ</t>
    </rPh>
    <rPh sb="3" eb="5">
      <t>ネンガク</t>
    </rPh>
    <rPh sb="5" eb="7">
      <t>ソウトウ</t>
    </rPh>
    <rPh sb="7" eb="8">
      <t>ガク</t>
    </rPh>
    <phoneticPr fontId="2"/>
  </si>
  <si>
    <t>３号厚年（年額）</t>
    <rPh sb="1" eb="2">
      <t>ゴウ</t>
    </rPh>
    <rPh sb="2" eb="4">
      <t>コウネン</t>
    </rPh>
    <rPh sb="5" eb="7">
      <t>ネンガク</t>
    </rPh>
    <phoneticPr fontId="2"/>
  </si>
  <si>
    <t>報酬比例部分（月額）</t>
    <rPh sb="0" eb="2">
      <t>ホウシュウ</t>
    </rPh>
    <rPh sb="2" eb="4">
      <t>ヒレイ</t>
    </rPh>
    <rPh sb="4" eb="6">
      <t>ブブン</t>
    </rPh>
    <rPh sb="7" eb="8">
      <t>ツキ</t>
    </rPh>
    <rPh sb="8" eb="9">
      <t>ガク</t>
    </rPh>
    <phoneticPr fontId="2"/>
  </si>
  <si>
    <t>３．停止額の按分算定（第３号厚年部分（報酬比例部分））</t>
    <rPh sb="2" eb="4">
      <t>テイシ</t>
    </rPh>
    <rPh sb="4" eb="5">
      <t>ガク</t>
    </rPh>
    <rPh sb="6" eb="8">
      <t>アンブン</t>
    </rPh>
    <rPh sb="8" eb="10">
      <t>サンテイ</t>
    </rPh>
    <rPh sb="11" eb="12">
      <t>ダイ</t>
    </rPh>
    <rPh sb="13" eb="14">
      <t>ゴウ</t>
    </rPh>
    <rPh sb="14" eb="16">
      <t>コウネン</t>
    </rPh>
    <rPh sb="16" eb="18">
      <t>ブブン</t>
    </rPh>
    <rPh sb="19" eb="21">
      <t>ホウシュウ</t>
    </rPh>
    <rPh sb="21" eb="23">
      <t>ヒレイ</t>
    </rPh>
    <rPh sb="23" eb="25">
      <t>ブブン</t>
    </rPh>
    <phoneticPr fontId="2"/>
  </si>
  <si>
    <t>（報酬比例部分）</t>
    <rPh sb="1" eb="3">
      <t>ホウシュウ</t>
    </rPh>
    <rPh sb="3" eb="5">
      <t>ヒレイ</t>
    </rPh>
    <rPh sb="5" eb="7">
      <t>ブブン</t>
    </rPh>
    <phoneticPr fontId="2"/>
  </si>
  <si>
    <t>４．停止額・支給額の算定</t>
    <rPh sb="2" eb="4">
      <t>テイシ</t>
    </rPh>
    <rPh sb="4" eb="5">
      <t>ガク</t>
    </rPh>
    <rPh sb="6" eb="9">
      <t>シキュウガク</t>
    </rPh>
    <rPh sb="10" eb="12">
      <t>サンテイ</t>
    </rPh>
    <phoneticPr fontId="2"/>
  </si>
  <si>
    <t>＋</t>
    <phoneticPr fontId="2"/>
  </si>
  <si>
    <t>５．支給額の月額</t>
    <rPh sb="2" eb="5">
      <t>シキュウガク</t>
    </rPh>
    <rPh sb="6" eb="8">
      <t>ゲツガク</t>
    </rPh>
    <phoneticPr fontId="2"/>
  </si>
  <si>
    <t>支給額（１月分）</t>
    <rPh sb="0" eb="3">
      <t>シキュウガク</t>
    </rPh>
    <rPh sb="5" eb="7">
      <t>ツキブン</t>
    </rPh>
    <phoneticPr fontId="2"/>
  </si>
  <si>
    <t>支給額（年額）</t>
    <rPh sb="0" eb="3">
      <t>シキュウガク</t>
    </rPh>
    <rPh sb="3" eb="5">
      <t>ネンキンガク</t>
    </rPh>
    <rPh sb="4" eb="6">
      <t>ネンガク</t>
    </rPh>
    <phoneticPr fontId="2"/>
  </si>
  <si>
    <t>／ １２  ＝</t>
    <phoneticPr fontId="2"/>
  </si>
  <si>
    <t>支給額（月額）</t>
    <rPh sb="0" eb="3">
      <t>シキュウガク</t>
    </rPh>
    <rPh sb="4" eb="6">
      <t>ゲツガク</t>
    </rPh>
    <phoneticPr fontId="2"/>
  </si>
  <si>
    <t>支給額（２月分）</t>
    <rPh sb="0" eb="3">
      <t>シキュウガク</t>
    </rPh>
    <rPh sb="5" eb="7">
      <t>ツキブン</t>
    </rPh>
    <phoneticPr fontId="2"/>
  </si>
  <si>
    <t>／ ６  ＝</t>
    <phoneticPr fontId="2"/>
  </si>
  <si>
    <t>（３号（A）の計算）</t>
    <rPh sb="2" eb="3">
      <t>ゴウ</t>
    </rPh>
    <rPh sb="7" eb="9">
      <t>ケイサン</t>
    </rPh>
    <phoneticPr fontId="2"/>
  </si>
  <si>
    <t>５６４万円〕  ×  １／２</t>
    <rPh sb="3" eb="5">
      <t>マンエン</t>
    </rPh>
    <phoneticPr fontId="2"/>
  </si>
  <si>
    <t xml:space="preserve"> </t>
    <phoneticPr fontId="2"/>
  </si>
  <si>
    <t>収入計</t>
    <rPh sb="0" eb="2">
      <t>シュウニュウ</t>
    </rPh>
    <rPh sb="2" eb="3">
      <t>ケイ</t>
    </rPh>
    <phoneticPr fontId="2"/>
  </si>
  <si>
    <t>47超</t>
    <rPh sb="2" eb="3">
      <t>チョウ</t>
    </rPh>
    <phoneticPr fontId="2"/>
  </si>
  <si>
    <t>115・117</t>
    <phoneticPr fontId="2"/>
  </si>
  <si>
    <t>支給停止調整額</t>
    <rPh sb="0" eb="2">
      <t>シキュウ</t>
    </rPh>
    <rPh sb="2" eb="4">
      <t>テイシ</t>
    </rPh>
    <phoneticPr fontId="2"/>
  </si>
  <si>
    <t>選択</t>
    <rPh sb="0" eb="2">
      <t>センタク</t>
    </rPh>
    <phoneticPr fontId="2"/>
  </si>
  <si>
    <t>４５万円〕  ×  １／２</t>
    <rPh sb="2" eb="4">
      <t>マンエン</t>
    </rPh>
    <phoneticPr fontId="2"/>
  </si>
  <si>
    <t>４６万円〕  ×  １／２</t>
    <rPh sb="2" eb="4">
      <t>マンエン</t>
    </rPh>
    <phoneticPr fontId="2"/>
  </si>
  <si>
    <t>４８万円〕  ×  １／２</t>
    <rPh sb="2" eb="4">
      <t>マンエン</t>
    </rPh>
    <phoneticPr fontId="2"/>
  </si>
  <si>
    <t>４９万円〕  ×  １／２</t>
    <rPh sb="2" eb="4">
      <t>マンエン</t>
    </rPh>
    <phoneticPr fontId="2"/>
  </si>
  <si>
    <t>５０万円〕  ×  １／２</t>
    <rPh sb="2" eb="4">
      <t>マンエン</t>
    </rPh>
    <phoneticPr fontId="2"/>
  </si>
  <si>
    <t>５４０万円〕  ×  １／２</t>
    <rPh sb="3" eb="5">
      <t>マンエン</t>
    </rPh>
    <phoneticPr fontId="2"/>
  </si>
  <si>
    <t>５５２万円〕  ×  １／２</t>
    <rPh sb="3" eb="5">
      <t>マンエン</t>
    </rPh>
    <phoneticPr fontId="2"/>
  </si>
  <si>
    <t>５７６万円〕  ×  １／２</t>
    <rPh sb="3" eb="5">
      <t>マンエン</t>
    </rPh>
    <phoneticPr fontId="2"/>
  </si>
  <si>
    <t>５８８万円〕  ×  １／２</t>
    <rPh sb="3" eb="5">
      <t>マンエン</t>
    </rPh>
    <phoneticPr fontId="2"/>
  </si>
  <si>
    <t>６００万円〕  ×  １／２</t>
    <rPh sb="3" eb="5">
      <t>マンエン</t>
    </rPh>
    <phoneticPr fontId="2"/>
  </si>
  <si>
    <t>①</t>
    <phoneticPr fontId="2"/>
  </si>
  <si>
    <t>①の額が1円以上の場合</t>
    <rPh sb="2" eb="3">
      <t>ガク</t>
    </rPh>
    <rPh sb="5" eb="6">
      <t>エン</t>
    </rPh>
    <rPh sb="6" eb="8">
      <t>イジョウ</t>
    </rPh>
    <rPh sb="9" eb="11">
      <t>バアイ</t>
    </rPh>
    <phoneticPr fontId="2"/>
  </si>
  <si>
    <t>①の額が0円以下の場合</t>
    <rPh sb="2" eb="3">
      <t>ガク</t>
    </rPh>
    <rPh sb="5" eb="6">
      <t>エン</t>
    </rPh>
    <rPh sb="6" eb="8">
      <t>イカ</t>
    </rPh>
    <rPh sb="9" eb="11">
      <t>バアイ</t>
    </rPh>
    <phoneticPr fontId="2"/>
  </si>
  <si>
    <t>入力箇所</t>
    <rPh sb="0" eb="2">
      <t>ニュウリョク</t>
    </rPh>
    <rPh sb="2" eb="4">
      <t>カショ</t>
    </rPh>
    <phoneticPr fontId="2"/>
  </si>
  <si>
    <t>のみ入力してください。</t>
    <rPh sb="2" eb="4">
      <t>ニュウリョク</t>
    </rPh>
    <phoneticPr fontId="2"/>
  </si>
  <si>
    <t>再就職状況</t>
    <rPh sb="0" eb="1">
      <t>サイ</t>
    </rPh>
    <rPh sb="1" eb="3">
      <t>シュウショク</t>
    </rPh>
    <rPh sb="3" eb="5">
      <t>ジョウキョウ</t>
    </rPh>
    <phoneticPr fontId="2"/>
  </si>
  <si>
    <t>⑮ ((③+⑭-48万)/2)</t>
    <phoneticPr fontId="2"/>
  </si>
  <si>
    <t xml:space="preserve">× １２  </t>
    <phoneticPr fontId="2"/>
  </si>
  <si>
    <t>0：停止対象外</t>
    <rPh sb="2" eb="4">
      <t>テイシ</t>
    </rPh>
    <rPh sb="4" eb="7">
      <t>タイショウガイ</t>
    </rPh>
    <phoneticPr fontId="2"/>
  </si>
  <si>
    <t>※ 賞与（ボーナス）は、１回、150万円が上限</t>
    <rPh sb="2" eb="4">
      <t>ショウヨ</t>
    </rPh>
    <rPh sb="13" eb="14">
      <t>カイ</t>
    </rPh>
    <rPh sb="18" eb="20">
      <t>マンエン</t>
    </rPh>
    <rPh sb="21" eb="23">
      <t>ジョウゲン</t>
    </rPh>
    <phoneticPr fontId="2"/>
  </si>
  <si>
    <t>共済</t>
    <rPh sb="0" eb="2">
      <t>キョウサイ</t>
    </rPh>
    <phoneticPr fontId="2"/>
  </si>
  <si>
    <t>在職支給停止の停止額の計算書（第３号老厚年）</t>
    <rPh sb="0" eb="2">
      <t>ザイショク</t>
    </rPh>
    <rPh sb="2" eb="4">
      <t>シキュウ</t>
    </rPh>
    <rPh sb="4" eb="6">
      <t>テイシ</t>
    </rPh>
    <rPh sb="7" eb="9">
      <t>テイシ</t>
    </rPh>
    <rPh sb="9" eb="10">
      <t>ガク</t>
    </rPh>
    <rPh sb="11" eb="14">
      <t>ケイサンショ</t>
    </rPh>
    <rPh sb="15" eb="16">
      <t>ダイ</t>
    </rPh>
    <rPh sb="17" eb="18">
      <t>ゴウ</t>
    </rPh>
    <rPh sb="18" eb="19">
      <t>ロウ</t>
    </rPh>
    <rPh sb="19" eb="20">
      <t>コウ</t>
    </rPh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</si>
</sst>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月&quot;"/>
    <numFmt numFmtId="177" formatCode="#,##0&quot;年&quot;"/>
    <numFmt numFmtId="178" formatCode="#,##0.0;[Red]\-#,##0.0"/>
    <numFmt numFmtId="179" formatCode="#,##0_ ;[Red]\-#,##0\ "/>
    <numFmt numFmtId="180" formatCode="#,##0.000;[Red]\-#,##0.000"/>
    <numFmt numFmtId="181" formatCode="#,##0.0000;[Red]\-#,##0.0000"/>
    <numFmt numFmtId="182" formatCode="#,##0.000000;[Red]\-#,##0.000000"/>
    <numFmt numFmtId="183" formatCode="#,##0_);[Red]\(#,##0\)"/>
    <numFmt numFmtId="184" formatCode="#,##0.00_ ;[Red]\-#,##0.00\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rgb="FFC00000"/>
      <name val="HGPｺﾞｼｯｸM"/>
      <family val="3"/>
      <charset val="128"/>
    </font>
    <font>
      <sz val="11"/>
      <color rgb="FF002060"/>
      <name val="HGPｺﾞｼｯｸM"/>
      <family val="3"/>
      <charset val="128"/>
    </font>
    <font>
      <sz val="11"/>
      <color theme="9" tint="-0.499984740745262"/>
      <name val="HGPｺﾞｼｯｸM"/>
      <family val="3"/>
      <charset val="128"/>
    </font>
    <font>
      <sz val="10"/>
      <color theme="9" tint="-0.499984740745262"/>
      <name val="HGPｺﾞｼｯｸM"/>
      <family val="3"/>
      <charset val="128"/>
    </font>
    <font>
      <sz val="10"/>
      <color theme="9" tint="-0.499984740745262"/>
      <name val="ＭＳ Ｐゴシック"/>
      <family val="2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rgb="FF002060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b/>
      <sz val="11"/>
      <color theme="9" tint="-0.499984740745262"/>
      <name val="HGPｺﾞｼｯｸM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0" tint="-0.499984740745262"/>
      <name val="HGPｺﾞｼｯｸM"/>
      <family val="3"/>
      <charset val="128"/>
    </font>
    <font>
      <b/>
      <sz val="16"/>
      <color theme="5" tint="-0.499984740745262"/>
      <name val="HGPｺﾞｼｯｸM"/>
      <family val="3"/>
      <charset val="128"/>
    </font>
    <font>
      <b/>
      <sz val="11"/>
      <color theme="5" tint="-0.499984740745262"/>
      <name val="HGPｺﾞｼｯｸM"/>
      <family val="3"/>
      <charset val="128"/>
    </font>
    <font>
      <b/>
      <sz val="11"/>
      <color theme="5" tint="-0.499984740745262"/>
      <name val="ＭＳ Ｐゴシック"/>
      <family val="2"/>
      <charset val="128"/>
      <scheme val="minor"/>
    </font>
    <font>
      <sz val="11"/>
      <color theme="5" tint="-0.499984740745262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color rgb="FFC00000"/>
      <name val="HGPｺﾞｼｯｸM"/>
      <family val="3"/>
      <charset val="128"/>
    </font>
    <font>
      <b/>
      <sz val="14"/>
      <color theme="0" tint="-0.499984740745262"/>
      <name val="HGPｺﾞｼｯｸM"/>
      <family val="3"/>
      <charset val="128"/>
    </font>
    <font>
      <sz val="11"/>
      <color rgb="FF00B050"/>
      <name val="HGPｺﾞｼｯｸM"/>
      <family val="3"/>
      <charset val="128"/>
    </font>
    <font>
      <sz val="12"/>
      <color theme="0" tint="-0.499984740745262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1"/>
      <color rgb="FF0070C0"/>
      <name val="HGPｺﾞｼｯｸ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color theme="5" tint="-0.499984740745262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11"/>
      <color theme="0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lightGrid">
        <fgColor theme="5" tint="0.79998168889431442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ck">
        <color rgb="FFC00000"/>
      </bottom>
      <diagonal/>
    </border>
    <border>
      <left/>
      <right style="thin">
        <color rgb="FFC00000"/>
      </right>
      <top/>
      <bottom style="thick">
        <color rgb="FFC00000"/>
      </bottom>
      <diagonal/>
    </border>
    <border>
      <left style="thin">
        <color rgb="FFC00000"/>
      </left>
      <right/>
      <top/>
      <bottom style="thick">
        <color rgb="FFC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double">
        <color rgb="FFC00000"/>
      </top>
      <bottom style="thin">
        <color auto="1"/>
      </bottom>
      <diagonal/>
    </border>
    <border>
      <left/>
      <right/>
      <top style="double">
        <color rgb="FFC00000"/>
      </top>
      <bottom/>
      <diagonal/>
    </border>
    <border>
      <left style="hair">
        <color auto="1"/>
      </left>
      <right style="hair">
        <color auto="1"/>
      </right>
      <top style="double">
        <color rgb="FFC00000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theme="5" tint="-0.499984740745262"/>
      </left>
      <right/>
      <top style="double">
        <color theme="5" tint="-0.499984740745262"/>
      </top>
      <bottom/>
      <diagonal/>
    </border>
    <border>
      <left/>
      <right/>
      <top style="double">
        <color theme="5" tint="-0.499984740745262"/>
      </top>
      <bottom/>
      <diagonal/>
    </border>
    <border>
      <left/>
      <right style="double">
        <color theme="5" tint="-0.499984740745262"/>
      </right>
      <top style="double">
        <color theme="5" tint="-0.499984740745262"/>
      </top>
      <bottom/>
      <diagonal/>
    </border>
    <border>
      <left style="double">
        <color theme="5" tint="-0.499984740745262"/>
      </left>
      <right/>
      <top/>
      <bottom/>
      <diagonal/>
    </border>
    <border>
      <left/>
      <right style="double">
        <color theme="5" tint="-0.499984740745262"/>
      </right>
      <top/>
      <bottom/>
      <diagonal/>
    </border>
    <border>
      <left style="double">
        <color theme="5" tint="-0.499984740745262"/>
      </left>
      <right style="hair">
        <color auto="1"/>
      </right>
      <top/>
      <bottom/>
      <diagonal/>
    </border>
    <border>
      <left style="double">
        <color theme="5" tint="-0.499984740745262"/>
      </left>
      <right/>
      <top/>
      <bottom style="double">
        <color theme="5" tint="-0.499984740745262"/>
      </bottom>
      <diagonal/>
    </border>
    <border>
      <left/>
      <right/>
      <top/>
      <bottom style="double">
        <color theme="5" tint="-0.499984740745262"/>
      </bottom>
      <diagonal/>
    </border>
    <border>
      <left/>
      <right style="double">
        <color theme="5" tint="-0.499984740745262"/>
      </right>
      <top/>
      <bottom style="double">
        <color theme="5" tint="-0.499984740745262"/>
      </bottom>
      <diagonal/>
    </border>
    <border>
      <left style="double">
        <color theme="5" tint="-0.499984740745262"/>
      </left>
      <right style="double">
        <color theme="5" tint="-0.499984740745262"/>
      </right>
      <top style="double">
        <color theme="5" tint="-0.499984740745262"/>
      </top>
      <bottom/>
      <diagonal/>
    </border>
    <border>
      <left style="double">
        <color theme="5" tint="-0.499984740745262"/>
      </left>
      <right style="double">
        <color theme="5" tint="-0.499984740745262"/>
      </right>
      <top style="thin">
        <color auto="1"/>
      </top>
      <bottom style="double">
        <color theme="5" tint="-0.49998474074526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theme="5" tint="-0.499984740745262"/>
      </left>
      <right style="hair">
        <color auto="1"/>
      </right>
      <top style="medium">
        <color theme="5" tint="-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theme="5" tint="-0.499984740745262"/>
      </top>
      <bottom style="thin">
        <color auto="1"/>
      </bottom>
      <diagonal/>
    </border>
    <border>
      <left style="hair">
        <color auto="1"/>
      </left>
      <right style="medium">
        <color theme="5" tint="-0.499984740745262"/>
      </right>
      <top style="medium">
        <color theme="5" tint="-0.499984740745262"/>
      </top>
      <bottom style="thin">
        <color auto="1"/>
      </bottom>
      <diagonal/>
    </border>
    <border>
      <left style="medium">
        <color theme="5" tint="-0.499984740745262"/>
      </left>
      <right style="hair">
        <color auto="1"/>
      </right>
      <top/>
      <bottom style="medium">
        <color theme="5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5" tint="-0.499984740745262"/>
      </bottom>
      <diagonal/>
    </border>
    <border>
      <left style="hair">
        <color auto="1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auto="1"/>
      </bottom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auto="1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hair">
        <color auto="1"/>
      </right>
      <top style="medium">
        <color theme="5" tint="-0.499984740745262"/>
      </top>
      <bottom style="thin">
        <color auto="1"/>
      </bottom>
      <diagonal/>
    </border>
    <border>
      <left style="thin">
        <color theme="5" tint="-0.499984740745262"/>
      </left>
      <right style="hair">
        <color auto="1"/>
      </right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thin">
        <color auto="1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slantDashDot">
        <color theme="5" tint="-0.499984740745262"/>
      </left>
      <right/>
      <top/>
      <bottom/>
      <diagonal/>
    </border>
    <border>
      <left/>
      <right style="slantDashDot">
        <color theme="5" tint="-0.499984740745262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hair">
        <color auto="1"/>
      </left>
      <right/>
      <top style="medium">
        <color theme="5" tint="-0.499984740745262"/>
      </top>
      <bottom style="thin">
        <color auto="1"/>
      </bottom>
      <diagonal/>
    </border>
    <border>
      <left style="hair">
        <color auto="1"/>
      </left>
      <right/>
      <top/>
      <bottom style="medium">
        <color theme="5" tint="-0.499984740745262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medium">
        <color theme="5" tint="-0.24994659260841701"/>
      </right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hair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 style="hair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5" tint="-0.499984740745262"/>
      </top>
      <bottom/>
      <diagonal/>
    </border>
    <border>
      <left/>
      <right style="hair">
        <color theme="5" tint="-0.499984740745262"/>
      </right>
      <top/>
      <bottom/>
      <diagonal/>
    </border>
    <border>
      <left/>
      <right style="medium">
        <color rgb="FF0070C0"/>
      </right>
      <top/>
      <bottom/>
      <diagonal/>
    </border>
    <border>
      <left/>
      <right style="thin">
        <color auto="1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auto="1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5" tint="-0.24994659260841701"/>
      </left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hair">
        <color auto="1"/>
      </left>
      <right style="medium">
        <color theme="5" tint="-0.499984740745262"/>
      </right>
      <top style="hair">
        <color auto="1"/>
      </top>
      <bottom/>
      <diagonal/>
    </border>
    <border>
      <left style="hair">
        <color auto="1"/>
      </left>
      <right style="medium">
        <color theme="5" tint="-0.499984740745262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3" fillId="0" borderId="0" xfId="1" applyFont="1" applyBorder="1">
      <alignment vertical="center"/>
    </xf>
    <xf numFmtId="177" fontId="0" fillId="0" borderId="2" xfId="0" applyNumberFormat="1" applyBorder="1">
      <alignment vertical="center"/>
    </xf>
    <xf numFmtId="38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7" fontId="0" fillId="2" borderId="11" xfId="0" applyNumberFormat="1" applyFill="1" applyBorder="1" applyProtection="1">
      <alignment vertical="center"/>
      <protection locked="0"/>
    </xf>
    <xf numFmtId="176" fontId="0" fillId="2" borderId="12" xfId="0" applyNumberFormat="1" applyFill="1" applyBorder="1" applyProtection="1">
      <alignment vertical="center"/>
      <protection locked="0"/>
    </xf>
    <xf numFmtId="176" fontId="0" fillId="0" borderId="4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40" fontId="3" fillId="0" borderId="0" xfId="1" applyNumberFormat="1" applyFont="1" applyBorder="1">
      <alignment vertical="center"/>
    </xf>
    <xf numFmtId="178" fontId="7" fillId="0" borderId="23" xfId="1" applyNumberFormat="1" applyFont="1" applyBorder="1">
      <alignment vertical="center"/>
    </xf>
    <xf numFmtId="178" fontId="7" fillId="0" borderId="24" xfId="1" applyNumberFormat="1" applyFont="1" applyBorder="1">
      <alignment vertical="center"/>
    </xf>
    <xf numFmtId="178" fontId="7" fillId="0" borderId="25" xfId="1" applyNumberFormat="1" applyFont="1" applyBorder="1">
      <alignment vertical="center"/>
    </xf>
    <xf numFmtId="178" fontId="7" fillId="0" borderId="26" xfId="1" applyNumberFormat="1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38" fontId="0" fillId="0" borderId="0" xfId="1" applyFont="1">
      <alignment vertical="center"/>
    </xf>
    <xf numFmtId="38" fontId="11" fillId="0" borderId="0" xfId="1" applyFont="1">
      <alignment vertical="center"/>
    </xf>
    <xf numFmtId="38" fontId="9" fillId="0" borderId="0" xfId="1" applyFont="1">
      <alignment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 shrinkToFit="1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vertical="center" shrinkToFit="1"/>
    </xf>
    <xf numFmtId="38" fontId="10" fillId="0" borderId="0" xfId="1" applyFont="1">
      <alignment vertical="center"/>
    </xf>
    <xf numFmtId="38" fontId="9" fillId="0" borderId="0" xfId="1" quotePrefix="1" applyFont="1" applyAlignment="1">
      <alignment horizontal="center" vertical="center"/>
    </xf>
    <xf numFmtId="40" fontId="14" fillId="0" borderId="0" xfId="1" applyNumberFormat="1" applyFont="1" applyAlignment="1">
      <alignment horizontal="right" vertical="center"/>
    </xf>
    <xf numFmtId="40" fontId="13" fillId="0" borderId="31" xfId="1" applyNumberFormat="1" applyFont="1" applyBorder="1">
      <alignment vertical="center"/>
    </xf>
    <xf numFmtId="38" fontId="9" fillId="0" borderId="32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38" fontId="9" fillId="0" borderId="34" xfId="1" applyFont="1" applyBorder="1">
      <alignment vertical="center"/>
    </xf>
    <xf numFmtId="38" fontId="9" fillId="0" borderId="0" xfId="1" applyFont="1" applyBorder="1">
      <alignment vertical="center"/>
    </xf>
    <xf numFmtId="38" fontId="9" fillId="0" borderId="37" xfId="1" applyFont="1" applyBorder="1" applyAlignment="1">
      <alignment vertical="center" shrinkToFit="1"/>
    </xf>
    <xf numFmtId="38" fontId="9" fillId="0" borderId="37" xfId="1" applyFont="1" applyBorder="1">
      <alignment vertical="center"/>
    </xf>
    <xf numFmtId="38" fontId="9" fillId="0" borderId="0" xfId="1" applyFont="1" applyFill="1" applyBorder="1">
      <alignment vertical="center"/>
    </xf>
    <xf numFmtId="38" fontId="9" fillId="0" borderId="37" xfId="1" applyFont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4" borderId="38" xfId="1" applyFont="1" applyFill="1" applyBorder="1" applyAlignment="1">
      <alignment horizontal="center" vertical="center"/>
    </xf>
    <xf numFmtId="40" fontId="13" fillId="4" borderId="31" xfId="1" applyNumberFormat="1" applyFont="1" applyFill="1" applyBorder="1">
      <alignment vertical="center"/>
    </xf>
    <xf numFmtId="40" fontId="12" fillId="4" borderId="31" xfId="1" applyNumberFormat="1" applyFont="1" applyFill="1" applyBorder="1">
      <alignment vertical="center"/>
    </xf>
    <xf numFmtId="38" fontId="9" fillId="4" borderId="0" xfId="1" applyFont="1" applyFill="1" applyBorder="1" applyAlignment="1">
      <alignment vertical="center" shrinkToFit="1"/>
    </xf>
    <xf numFmtId="38" fontId="9" fillId="4" borderId="0" xfId="1" applyFont="1" applyFill="1" applyBorder="1">
      <alignment vertical="center"/>
    </xf>
    <xf numFmtId="38" fontId="9" fillId="4" borderId="32" xfId="1" applyFont="1" applyFill="1" applyBorder="1" applyAlignment="1">
      <alignment horizontal="center" vertical="center"/>
    </xf>
    <xf numFmtId="38" fontId="9" fillId="4" borderId="36" xfId="1" applyFont="1" applyFill="1" applyBorder="1" applyAlignment="1">
      <alignment horizontal="center" vertical="center"/>
    </xf>
    <xf numFmtId="38" fontId="9" fillId="4" borderId="36" xfId="1" applyFont="1" applyFill="1" applyBorder="1">
      <alignment vertical="center"/>
    </xf>
    <xf numFmtId="38" fontId="9" fillId="4" borderId="0" xfId="1" applyFont="1" applyFill="1" applyAlignment="1">
      <alignment horizontal="center" vertical="center"/>
    </xf>
    <xf numFmtId="38" fontId="9" fillId="4" borderId="0" xfId="1" applyFont="1" applyFill="1">
      <alignment vertical="center"/>
    </xf>
    <xf numFmtId="178" fontId="9" fillId="0" borderId="0" xfId="1" applyNumberFormat="1" applyFont="1" applyBorder="1">
      <alignment vertical="center"/>
    </xf>
    <xf numFmtId="38" fontId="9" fillId="0" borderId="0" xfId="1" applyFont="1" applyBorder="1" applyAlignment="1">
      <alignment horizontal="center" vertical="center"/>
    </xf>
    <xf numFmtId="178" fontId="9" fillId="0" borderId="37" xfId="1" applyNumberFormat="1" applyFont="1" applyBorder="1">
      <alignment vertical="center"/>
    </xf>
    <xf numFmtId="38" fontId="9" fillId="4" borderId="36" xfId="1" applyFont="1" applyFill="1" applyBorder="1" applyAlignment="1">
      <alignment vertical="center" shrinkToFit="1"/>
    </xf>
    <xf numFmtId="38" fontId="12" fillId="0" borderId="0" xfId="1" applyFont="1" applyAlignment="1">
      <alignment vertical="center" shrinkToFit="1"/>
    </xf>
    <xf numFmtId="10" fontId="12" fillId="0" borderId="0" xfId="2" applyNumberFormat="1" applyFont="1" applyAlignment="1">
      <alignment vertical="center" shrinkToFit="1"/>
    </xf>
    <xf numFmtId="38" fontId="9" fillId="4" borderId="39" xfId="1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horizontal="center" vertical="center"/>
    </xf>
    <xf numFmtId="38" fontId="9" fillId="4" borderId="0" xfId="1" applyFont="1" applyFill="1" applyBorder="1" applyAlignment="1">
      <alignment horizontal="center" vertical="center"/>
    </xf>
    <xf numFmtId="38" fontId="10" fillId="0" borderId="41" xfId="1" applyFont="1" applyBorder="1" applyAlignment="1">
      <alignment horizontal="center" vertical="center" shrinkToFit="1"/>
    </xf>
    <xf numFmtId="38" fontId="9" fillId="0" borderId="42" xfId="1" applyFont="1" applyBorder="1" applyAlignment="1">
      <alignment horizontal="center" vertical="center" shrinkToFit="1"/>
    </xf>
    <xf numFmtId="38" fontId="9" fillId="0" borderId="42" xfId="1" applyFont="1" applyBorder="1">
      <alignment vertical="center"/>
    </xf>
    <xf numFmtId="40" fontId="13" fillId="4" borderId="33" xfId="1" applyNumberFormat="1" applyFont="1" applyFill="1" applyBorder="1">
      <alignment vertical="center"/>
    </xf>
    <xf numFmtId="40" fontId="12" fillId="4" borderId="33" xfId="1" applyNumberFormat="1" applyFont="1" applyFill="1" applyBorder="1">
      <alignment vertical="center"/>
    </xf>
    <xf numFmtId="38" fontId="9" fillId="0" borderId="39" xfId="1" applyFont="1" applyFill="1" applyBorder="1" applyAlignment="1">
      <alignment vertical="center" shrinkToFit="1"/>
    </xf>
    <xf numFmtId="38" fontId="9" fillId="0" borderId="39" xfId="1" applyFont="1" applyFill="1" applyBorder="1">
      <alignment vertical="center"/>
    </xf>
    <xf numFmtId="38" fontId="9" fillId="0" borderId="39" xfId="1" applyFont="1" applyFill="1" applyBorder="1" applyAlignment="1">
      <alignment horizontal="center" vertical="center"/>
    </xf>
    <xf numFmtId="40" fontId="12" fillId="0" borderId="33" xfId="1" applyNumberFormat="1" applyFont="1" applyBorder="1" applyAlignment="1">
      <alignment horizontal="right" vertical="center"/>
    </xf>
    <xf numFmtId="179" fontId="0" fillId="2" borderId="0" xfId="0" applyNumberFormat="1" applyFill="1">
      <alignment vertical="center"/>
    </xf>
    <xf numFmtId="40" fontId="13" fillId="0" borderId="33" xfId="1" applyNumberFormat="1" applyFont="1" applyBorder="1">
      <alignment vertical="center"/>
    </xf>
    <xf numFmtId="38" fontId="13" fillId="0" borderId="33" xfId="1" applyFont="1" applyBorder="1">
      <alignment vertical="center"/>
    </xf>
    <xf numFmtId="38" fontId="9" fillId="0" borderId="3" xfId="1" applyFont="1" applyBorder="1" applyAlignment="1">
      <alignment horizontal="center" vertical="center" shrinkToFit="1"/>
    </xf>
    <xf numFmtId="38" fontId="9" fillId="0" borderId="45" xfId="1" applyFont="1" applyBorder="1" applyAlignment="1">
      <alignment horizontal="center" vertical="center" shrinkToFit="1"/>
    </xf>
    <xf numFmtId="38" fontId="9" fillId="0" borderId="46" xfId="1" applyFont="1" applyBorder="1" applyAlignment="1">
      <alignment horizontal="center" vertical="center" shrinkToFit="1"/>
    </xf>
    <xf numFmtId="38" fontId="13" fillId="0" borderId="47" xfId="1" applyFont="1" applyBorder="1">
      <alignment vertical="center"/>
    </xf>
    <xf numFmtId="38" fontId="13" fillId="0" borderId="48" xfId="1" applyFont="1" applyBorder="1">
      <alignment vertical="center"/>
    </xf>
    <xf numFmtId="38" fontId="18" fillId="0" borderId="0" xfId="1" applyFont="1">
      <alignment vertical="center"/>
    </xf>
    <xf numFmtId="40" fontId="14" fillId="0" borderId="47" xfId="1" applyNumberFormat="1" applyFont="1" applyBorder="1" applyAlignment="1">
      <alignment horizontal="right" vertical="center" shrinkToFit="1"/>
    </xf>
    <xf numFmtId="40" fontId="15" fillId="0" borderId="47" xfId="1" applyNumberFormat="1" applyFont="1" applyBorder="1" applyAlignment="1">
      <alignment horizontal="right" vertical="center"/>
    </xf>
    <xf numFmtId="38" fontId="13" fillId="0" borderId="0" xfId="1" applyFont="1" applyBorder="1">
      <alignment vertical="center"/>
    </xf>
    <xf numFmtId="38" fontId="17" fillId="0" borderId="0" xfId="1" applyFont="1" applyBorder="1">
      <alignment vertical="center"/>
    </xf>
    <xf numFmtId="38" fontId="9" fillId="0" borderId="32" xfId="1" applyFont="1" applyBorder="1" applyAlignment="1">
      <alignment horizontal="center" vertical="center" shrinkToFit="1"/>
    </xf>
    <xf numFmtId="38" fontId="9" fillId="4" borderId="38" xfId="1" applyFont="1" applyFill="1" applyBorder="1" applyAlignment="1">
      <alignment horizontal="center" vertical="center" shrinkToFit="1"/>
    </xf>
    <xf numFmtId="38" fontId="9" fillId="4" borderId="32" xfId="1" applyFont="1" applyFill="1" applyBorder="1" applyAlignment="1">
      <alignment horizontal="center" vertical="center" shrinkToFit="1"/>
    </xf>
    <xf numFmtId="40" fontId="19" fillId="0" borderId="50" xfId="1" applyNumberFormat="1" applyFont="1" applyBorder="1" applyAlignment="1">
      <alignment horizontal="right" vertical="center" shrinkToFit="1"/>
    </xf>
    <xf numFmtId="40" fontId="19" fillId="0" borderId="51" xfId="1" applyNumberFormat="1" applyFont="1" applyBorder="1" applyAlignment="1">
      <alignment horizontal="left" vertical="center"/>
    </xf>
    <xf numFmtId="38" fontId="19" fillId="0" borderId="0" xfId="1" applyFont="1" applyAlignment="1">
      <alignment horizontal="center" vertical="center"/>
    </xf>
    <xf numFmtId="38" fontId="9" fillId="0" borderId="52" xfId="1" applyFont="1" applyBorder="1" applyAlignment="1">
      <alignment horizontal="center" vertical="center" shrinkToFit="1"/>
    </xf>
    <xf numFmtId="38" fontId="9" fillId="0" borderId="52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9" fillId="5" borderId="43" xfId="1" applyFont="1" applyFill="1" applyBorder="1">
      <alignment vertical="center"/>
    </xf>
    <xf numFmtId="38" fontId="9" fillId="5" borderId="10" xfId="1" applyFont="1" applyFill="1" applyBorder="1">
      <alignment vertical="center"/>
    </xf>
    <xf numFmtId="38" fontId="17" fillId="5" borderId="44" xfId="1" applyFont="1" applyFill="1" applyBorder="1">
      <alignment vertical="center"/>
    </xf>
    <xf numFmtId="38" fontId="12" fillId="0" borderId="49" xfId="1" applyFont="1" applyBorder="1" applyAlignment="1">
      <alignment horizontal="center" vertical="center"/>
    </xf>
    <xf numFmtId="38" fontId="12" fillId="0" borderId="49" xfId="1" applyFont="1" applyBorder="1">
      <alignment vertical="center"/>
    </xf>
    <xf numFmtId="38" fontId="9" fillId="0" borderId="36" xfId="1" applyFont="1" applyBorder="1" applyAlignment="1">
      <alignment horizontal="right" vertical="center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38" fontId="22" fillId="0" borderId="0" xfId="1" applyFont="1" applyAlignment="1">
      <alignment horizontal="center" vertical="center"/>
    </xf>
    <xf numFmtId="38" fontId="13" fillId="0" borderId="0" xfId="1" applyFont="1" applyBorder="1" applyAlignment="1">
      <alignment vertical="center" shrinkToFit="1"/>
    </xf>
    <xf numFmtId="38" fontId="13" fillId="0" borderId="0" xfId="1" applyFont="1" applyBorder="1" applyAlignment="1">
      <alignment vertical="center"/>
    </xf>
    <xf numFmtId="40" fontId="21" fillId="0" borderId="0" xfId="1" applyNumberFormat="1" applyFont="1" applyAlignment="1">
      <alignment horizontal="center" vertical="center"/>
    </xf>
    <xf numFmtId="40" fontId="13" fillId="0" borderId="0" xfId="1" applyNumberFormat="1" applyFont="1" applyBorder="1" applyAlignment="1">
      <alignment vertical="center" shrinkToFit="1"/>
    </xf>
    <xf numFmtId="40" fontId="21" fillId="0" borderId="0" xfId="1" applyNumberFormat="1" applyFont="1">
      <alignment vertical="center"/>
    </xf>
    <xf numFmtId="38" fontId="21" fillId="0" borderId="0" xfId="1" applyFont="1" applyAlignment="1">
      <alignment horizontal="center" vertical="center"/>
    </xf>
    <xf numFmtId="38" fontId="21" fillId="0" borderId="0" xfId="1" applyFont="1" applyBorder="1">
      <alignment vertical="center"/>
    </xf>
    <xf numFmtId="38" fontId="18" fillId="0" borderId="0" xfId="1" applyFont="1" applyBorder="1">
      <alignment vertical="center"/>
    </xf>
    <xf numFmtId="38" fontId="27" fillId="0" borderId="0" xfId="1" applyFont="1">
      <alignment vertical="center"/>
    </xf>
    <xf numFmtId="38" fontId="9" fillId="0" borderId="53" xfId="1" applyFont="1" applyBorder="1">
      <alignment vertical="center"/>
    </xf>
    <xf numFmtId="38" fontId="9" fillId="0" borderId="54" xfId="1" applyFont="1" applyBorder="1">
      <alignment vertical="center"/>
    </xf>
    <xf numFmtId="38" fontId="9" fillId="0" borderId="55" xfId="1" applyFont="1" applyBorder="1">
      <alignment vertical="center"/>
    </xf>
    <xf numFmtId="38" fontId="11" fillId="0" borderId="56" xfId="1" applyFont="1" applyBorder="1">
      <alignment vertical="center"/>
    </xf>
    <xf numFmtId="38" fontId="9" fillId="0" borderId="57" xfId="1" applyFont="1" applyBorder="1">
      <alignment vertical="center"/>
    </xf>
    <xf numFmtId="38" fontId="9" fillId="0" borderId="56" xfId="1" applyFont="1" applyBorder="1" applyAlignment="1">
      <alignment horizontal="right" vertical="center"/>
    </xf>
    <xf numFmtId="40" fontId="14" fillId="0" borderId="56" xfId="1" applyNumberFormat="1" applyFont="1" applyBorder="1" applyAlignment="1">
      <alignment horizontal="right" vertical="center"/>
    </xf>
    <xf numFmtId="38" fontId="9" fillId="0" borderId="57" xfId="1" applyFont="1" applyBorder="1" applyAlignment="1">
      <alignment horizontal="center" vertical="center"/>
    </xf>
    <xf numFmtId="40" fontId="14" fillId="0" borderId="58" xfId="1" applyNumberFormat="1" applyFont="1" applyBorder="1" applyAlignment="1">
      <alignment horizontal="right" vertical="center" shrinkToFit="1"/>
    </xf>
    <xf numFmtId="40" fontId="15" fillId="0" borderId="58" xfId="1" applyNumberFormat="1" applyFont="1" applyBorder="1" applyAlignment="1">
      <alignment horizontal="right" vertical="center"/>
    </xf>
    <xf numFmtId="38" fontId="9" fillId="0" borderId="56" xfId="1" applyFont="1" applyBorder="1">
      <alignment vertical="center"/>
    </xf>
    <xf numFmtId="38" fontId="9" fillId="0" borderId="59" xfId="1" applyFont="1" applyBorder="1">
      <alignment vertical="center"/>
    </xf>
    <xf numFmtId="38" fontId="9" fillId="0" borderId="60" xfId="1" applyFont="1" applyBorder="1">
      <alignment vertical="center"/>
    </xf>
    <xf numFmtId="38" fontId="9" fillId="0" borderId="61" xfId="1" applyFont="1" applyBorder="1">
      <alignment vertical="center"/>
    </xf>
    <xf numFmtId="0" fontId="9" fillId="0" borderId="62" xfId="1" applyNumberFormat="1" applyFont="1" applyBorder="1">
      <alignment vertical="center"/>
    </xf>
    <xf numFmtId="0" fontId="9" fillId="0" borderId="63" xfId="1" applyNumberFormat="1" applyFont="1" applyBorder="1" applyAlignment="1">
      <alignment horizontal="center" vertical="center"/>
    </xf>
    <xf numFmtId="38" fontId="28" fillId="0" borderId="0" xfId="1" applyFont="1" applyBorder="1">
      <alignment vertical="center"/>
    </xf>
    <xf numFmtId="38" fontId="12" fillId="0" borderId="3" xfId="1" applyFont="1" applyBorder="1" applyAlignment="1">
      <alignment horizontal="center" vertical="center"/>
    </xf>
    <xf numFmtId="38" fontId="12" fillId="0" borderId="10" xfId="1" applyFont="1" applyBorder="1">
      <alignment vertical="center"/>
    </xf>
    <xf numFmtId="38" fontId="9" fillId="0" borderId="0" xfId="1" applyFont="1" applyBorder="1" applyAlignment="1">
      <alignment horizontal="center" vertical="center" shrinkToFit="1"/>
    </xf>
    <xf numFmtId="38" fontId="9" fillId="0" borderId="65" xfId="1" applyFont="1" applyBorder="1" applyAlignment="1">
      <alignment horizontal="center" vertical="center" shrinkToFit="1"/>
    </xf>
    <xf numFmtId="38" fontId="9" fillId="0" borderId="66" xfId="1" applyFont="1" applyBorder="1" applyAlignment="1">
      <alignment horizontal="center" vertical="center" shrinkToFit="1"/>
    </xf>
    <xf numFmtId="38" fontId="9" fillId="0" borderId="66" xfId="1" applyFont="1" applyBorder="1" applyAlignment="1">
      <alignment horizontal="center" vertical="center"/>
    </xf>
    <xf numFmtId="38" fontId="9" fillId="0" borderId="67" xfId="1" applyFont="1" applyBorder="1" applyAlignment="1">
      <alignment horizontal="center" vertical="center"/>
    </xf>
    <xf numFmtId="38" fontId="9" fillId="0" borderId="69" xfId="1" applyFont="1" applyBorder="1">
      <alignment vertical="center"/>
    </xf>
    <xf numFmtId="38" fontId="9" fillId="0" borderId="70" xfId="1" applyFont="1" applyBorder="1">
      <alignment vertical="center"/>
    </xf>
    <xf numFmtId="38" fontId="9" fillId="0" borderId="71" xfId="1" applyFont="1" applyBorder="1" applyAlignment="1">
      <alignment horizontal="center" vertical="center" shrinkToFit="1"/>
    </xf>
    <xf numFmtId="38" fontId="9" fillId="0" borderId="72" xfId="1" applyFont="1" applyBorder="1">
      <alignment vertical="center"/>
    </xf>
    <xf numFmtId="38" fontId="9" fillId="0" borderId="73" xfId="1" applyFont="1" applyBorder="1" applyAlignment="1">
      <alignment horizontal="center" vertical="center" shrinkToFit="1"/>
    </xf>
    <xf numFmtId="38" fontId="9" fillId="0" borderId="74" xfId="1" applyFont="1" applyBorder="1">
      <alignment vertical="center"/>
    </xf>
    <xf numFmtId="38" fontId="0" fillId="0" borderId="68" xfId="1" applyFont="1" applyFill="1" applyBorder="1" applyAlignment="1" applyProtection="1">
      <alignment vertical="center"/>
      <protection locked="0"/>
    </xf>
    <xf numFmtId="38" fontId="9" fillId="0" borderId="75" xfId="1" applyFont="1" applyBorder="1" applyAlignment="1">
      <alignment horizontal="center" vertical="center" shrinkToFit="1"/>
    </xf>
    <xf numFmtId="38" fontId="29" fillId="0" borderId="64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28" fillId="0" borderId="0" xfId="1" applyFont="1">
      <alignment vertical="center"/>
    </xf>
    <xf numFmtId="38" fontId="10" fillId="0" borderId="0" xfId="1" applyFont="1" applyAlignment="1">
      <alignment horizontal="center" vertical="center" shrinkToFit="1"/>
    </xf>
    <xf numFmtId="38" fontId="9" fillId="0" borderId="77" xfId="1" applyFont="1" applyBorder="1" applyAlignment="1">
      <alignment horizontal="center" vertical="center" shrinkToFit="1"/>
    </xf>
    <xf numFmtId="38" fontId="9" fillId="0" borderId="78" xfId="1" applyFont="1" applyBorder="1">
      <alignment vertical="center"/>
    </xf>
    <xf numFmtId="38" fontId="9" fillId="0" borderId="79" xfId="1" applyFont="1" applyBorder="1" applyAlignment="1">
      <alignment horizontal="center" vertical="center" shrinkToFit="1"/>
    </xf>
    <xf numFmtId="38" fontId="9" fillId="0" borderId="80" xfId="1" applyFont="1" applyBorder="1">
      <alignment vertical="center"/>
    </xf>
    <xf numFmtId="38" fontId="9" fillId="0" borderId="81" xfId="1" applyFont="1" applyBorder="1">
      <alignment vertical="center"/>
    </xf>
    <xf numFmtId="38" fontId="9" fillId="0" borderId="82" xfId="1" applyFont="1" applyBorder="1">
      <alignment vertical="center"/>
    </xf>
    <xf numFmtId="40" fontId="21" fillId="0" borderId="0" xfId="1" applyNumberFormat="1" applyFont="1" applyBorder="1" applyAlignment="1">
      <alignment horizontal="center" vertical="center"/>
    </xf>
    <xf numFmtId="38" fontId="24" fillId="0" borderId="0" xfId="1" applyFont="1" applyBorder="1">
      <alignment vertical="center"/>
    </xf>
    <xf numFmtId="38" fontId="24" fillId="0" borderId="0" xfId="1" applyFont="1" applyBorder="1" applyAlignment="1">
      <alignment horizontal="center" vertical="center"/>
    </xf>
    <xf numFmtId="38" fontId="25" fillId="0" borderId="0" xfId="1" applyFont="1" applyBorder="1">
      <alignment vertical="center"/>
    </xf>
    <xf numFmtId="38" fontId="21" fillId="0" borderId="0" xfId="1" quotePrefix="1" applyFont="1" applyBorder="1" applyAlignment="1">
      <alignment horizontal="right" vertical="center"/>
    </xf>
    <xf numFmtId="38" fontId="21" fillId="0" borderId="81" xfId="1" applyFont="1" applyBorder="1">
      <alignment vertical="center"/>
    </xf>
    <xf numFmtId="38" fontId="21" fillId="0" borderId="82" xfId="1" applyFont="1" applyBorder="1">
      <alignment vertical="center"/>
    </xf>
    <xf numFmtId="38" fontId="21" fillId="0" borderId="0" xfId="1" applyFont="1" applyBorder="1" applyAlignment="1">
      <alignment horizontal="right" vertical="center"/>
    </xf>
    <xf numFmtId="38" fontId="21" fillId="0" borderId="0" xfId="1" quotePrefix="1" applyFont="1" applyBorder="1" applyAlignment="1">
      <alignment horizontal="center" vertical="center"/>
    </xf>
    <xf numFmtId="40" fontId="21" fillId="0" borderId="0" xfId="1" applyNumberFormat="1" applyFont="1" applyBorder="1">
      <alignment vertical="center"/>
    </xf>
    <xf numFmtId="40" fontId="9" fillId="0" borderId="0" xfId="1" applyNumberFormat="1" applyFont="1" applyBorder="1">
      <alignment vertical="center"/>
    </xf>
    <xf numFmtId="38" fontId="30" fillId="0" borderId="0" xfId="1" applyFont="1">
      <alignment vertical="center"/>
    </xf>
    <xf numFmtId="38" fontId="12" fillId="0" borderId="0" xfId="1" applyFont="1" applyAlignment="1">
      <alignment horizontal="center" vertical="center"/>
    </xf>
    <xf numFmtId="38" fontId="24" fillId="0" borderId="0" xfId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40" fontId="21" fillId="0" borderId="0" xfId="1" quotePrefix="1" applyNumberFormat="1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40" fontId="0" fillId="0" borderId="0" xfId="0" applyNumberFormat="1" applyAlignment="1">
      <alignment vertical="center" shrinkToFit="1"/>
    </xf>
    <xf numFmtId="38" fontId="24" fillId="0" borderId="0" xfId="1" applyFont="1" applyBorder="1" applyAlignment="1">
      <alignment horizontal="left" vertical="center"/>
    </xf>
    <xf numFmtId="38" fontId="9" fillId="6" borderId="66" xfId="1" applyFont="1" applyFill="1" applyBorder="1" applyAlignment="1">
      <alignment horizontal="center" vertical="center"/>
    </xf>
    <xf numFmtId="38" fontId="9" fillId="6" borderId="67" xfId="1" applyFont="1" applyFill="1" applyBorder="1" applyAlignment="1">
      <alignment horizontal="center" vertical="center"/>
    </xf>
    <xf numFmtId="38" fontId="9" fillId="6" borderId="69" xfId="1" applyFont="1" applyFill="1" applyBorder="1">
      <alignment vertical="center"/>
    </xf>
    <xf numFmtId="38" fontId="9" fillId="6" borderId="70" xfId="1" applyFont="1" applyFill="1" applyBorder="1">
      <alignment vertical="center"/>
    </xf>
    <xf numFmtId="40" fontId="12" fillId="0" borderId="10" xfId="1" applyNumberFormat="1" applyFont="1" applyBorder="1" applyAlignment="1">
      <alignment vertical="center" shrinkToFit="1"/>
    </xf>
    <xf numFmtId="38" fontId="12" fillId="0" borderId="0" xfId="1" applyFont="1" applyBorder="1" applyAlignment="1">
      <alignment horizontal="center" vertical="center"/>
    </xf>
    <xf numFmtId="0" fontId="9" fillId="0" borderId="62" xfId="1" applyNumberFormat="1" applyFont="1" applyBorder="1" applyAlignment="1">
      <alignment horizontal="center" vertical="center" shrinkToFit="1"/>
    </xf>
    <xf numFmtId="38" fontId="9" fillId="0" borderId="0" xfId="1" applyFont="1" applyAlignment="1">
      <alignment horizontal="left" vertical="center"/>
    </xf>
    <xf numFmtId="38" fontId="31" fillId="0" borderId="0" xfId="1" applyFont="1" applyBorder="1">
      <alignment vertical="center"/>
    </xf>
    <xf numFmtId="38" fontId="32" fillId="0" borderId="0" xfId="1" applyFont="1" applyBorder="1">
      <alignment vertical="center"/>
    </xf>
    <xf numFmtId="38" fontId="9" fillId="0" borderId="0" xfId="1" applyFont="1" applyBorder="1" applyAlignment="1">
      <alignment vertical="center" shrinkToFit="1"/>
    </xf>
    <xf numFmtId="40" fontId="15" fillId="0" borderId="56" xfId="1" applyNumberFormat="1" applyFont="1" applyBorder="1" applyAlignment="1">
      <alignment horizontal="right" vertical="center"/>
    </xf>
    <xf numFmtId="38" fontId="21" fillId="0" borderId="0" xfId="1" applyFont="1" applyFill="1" applyBorder="1">
      <alignment vertical="center"/>
    </xf>
    <xf numFmtId="38" fontId="21" fillId="0" borderId="0" xfId="1" applyFont="1" applyFill="1" applyBorder="1" applyAlignment="1">
      <alignment horizontal="center" vertical="center"/>
    </xf>
    <xf numFmtId="38" fontId="9" fillId="0" borderId="0" xfId="1" applyFont="1" applyFill="1">
      <alignment vertical="center"/>
    </xf>
    <xf numFmtId="40" fontId="21" fillId="0" borderId="0" xfId="1" applyNumberFormat="1" applyFont="1" applyFill="1" applyBorder="1" applyAlignment="1">
      <alignment horizontal="center" vertical="center"/>
    </xf>
    <xf numFmtId="0" fontId="9" fillId="7" borderId="1" xfId="1" applyNumberFormat="1" applyFont="1" applyFill="1" applyBorder="1" applyAlignment="1">
      <alignment horizontal="center" vertical="center"/>
    </xf>
    <xf numFmtId="38" fontId="21" fillId="0" borderId="0" xfId="1" applyFont="1" applyBorder="1" applyAlignment="1">
      <alignment vertical="center" shrinkToFit="1"/>
    </xf>
    <xf numFmtId="38" fontId="9" fillId="0" borderId="101" xfId="1" applyFont="1" applyBorder="1" applyAlignment="1">
      <alignment horizontal="center" vertical="center" shrinkToFit="1"/>
    </xf>
    <xf numFmtId="38" fontId="33" fillId="0" borderId="0" xfId="1" applyFont="1">
      <alignment vertical="center"/>
    </xf>
    <xf numFmtId="38" fontId="26" fillId="0" borderId="0" xfId="1" applyFont="1">
      <alignment vertical="center"/>
    </xf>
    <xf numFmtId="38" fontId="21" fillId="0" borderId="0" xfId="1" quotePrefix="1" applyFont="1" applyAlignment="1">
      <alignment horizontal="center" vertical="center"/>
    </xf>
    <xf numFmtId="38" fontId="34" fillId="0" borderId="0" xfId="1" applyFont="1" applyAlignment="1">
      <alignment horizontal="center" vertical="center"/>
    </xf>
    <xf numFmtId="38" fontId="24" fillId="0" borderId="0" xfId="1" applyFont="1" applyAlignment="1">
      <alignment horizontal="center" vertical="center"/>
    </xf>
    <xf numFmtId="38" fontId="24" fillId="0" borderId="0" xfId="1" applyFont="1">
      <alignment vertical="center"/>
    </xf>
    <xf numFmtId="38" fontId="33" fillId="0" borderId="0" xfId="1" applyFont="1" applyBorder="1">
      <alignment vertical="center"/>
    </xf>
    <xf numFmtId="38" fontId="21" fillId="0" borderId="0" xfId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38" fontId="10" fillId="0" borderId="112" xfId="1" applyFont="1" applyBorder="1" applyAlignment="1">
      <alignment horizontal="center" vertical="center" shrinkToFit="1"/>
    </xf>
    <xf numFmtId="38" fontId="35" fillId="0" borderId="0" xfId="1" applyFont="1">
      <alignment vertical="center"/>
    </xf>
    <xf numFmtId="181" fontId="21" fillId="0" borderId="0" xfId="1" applyNumberFormat="1" applyFont="1" applyBorder="1" applyAlignment="1">
      <alignment horizontal="center" vertical="center"/>
    </xf>
    <xf numFmtId="38" fontId="20" fillId="0" borderId="0" xfId="1" applyFont="1" applyBorder="1" applyAlignment="1">
      <alignment horizontal="center" vertical="center"/>
    </xf>
    <xf numFmtId="38" fontId="9" fillId="0" borderId="124" xfId="1" applyFont="1" applyBorder="1">
      <alignment vertical="center"/>
    </xf>
    <xf numFmtId="40" fontId="37" fillId="0" borderId="0" xfId="1" applyNumberFormat="1" applyFont="1" applyBorder="1" applyAlignment="1">
      <alignment vertical="center" shrinkToFit="1"/>
    </xf>
    <xf numFmtId="40" fontId="38" fillId="0" borderId="0" xfId="0" applyNumberFormat="1" applyFont="1" applyAlignment="1">
      <alignment vertical="center" shrinkToFit="1"/>
    </xf>
    <xf numFmtId="40" fontId="37" fillId="0" borderId="0" xfId="1" applyNumberFormat="1" applyFont="1" applyFill="1" applyBorder="1" applyAlignment="1">
      <alignment vertical="center" shrinkToFit="1"/>
    </xf>
    <xf numFmtId="38" fontId="9" fillId="0" borderId="128" xfId="1" applyFont="1" applyBorder="1">
      <alignment vertical="center"/>
    </xf>
    <xf numFmtId="38" fontId="23" fillId="0" borderId="129" xfId="0" applyNumberFormat="1" applyFont="1" applyBorder="1">
      <alignment vertical="center"/>
    </xf>
    <xf numFmtId="0" fontId="8" fillId="0" borderId="95" xfId="0" applyFont="1" applyBorder="1" applyAlignment="1">
      <alignment horizontal="center" vertical="center"/>
    </xf>
    <xf numFmtId="38" fontId="0" fillId="0" borderId="6" xfId="1" applyFont="1" applyFill="1" applyBorder="1">
      <alignment vertical="center"/>
    </xf>
    <xf numFmtId="38" fontId="9" fillId="2" borderId="0" xfId="1" applyFont="1" applyFill="1" applyBorder="1">
      <alignment vertical="center"/>
    </xf>
    <xf numFmtId="38" fontId="9" fillId="2" borderId="72" xfId="1" applyFont="1" applyFill="1" applyBorder="1" applyAlignment="1" applyProtection="1">
      <alignment vertical="center" shrinkToFit="1"/>
      <protection locked="0"/>
    </xf>
    <xf numFmtId="38" fontId="36" fillId="0" borderId="0" xfId="1" applyFont="1" applyBorder="1" applyAlignment="1">
      <alignment horizontal="center" vertical="center"/>
    </xf>
    <xf numFmtId="0" fontId="9" fillId="0" borderId="0" xfId="1" applyNumberFormat="1" applyFont="1" applyFill="1" applyBorder="1">
      <alignment vertical="center"/>
    </xf>
    <xf numFmtId="0" fontId="9" fillId="0" borderId="0" xfId="1" applyNumberFormat="1" applyFont="1" applyFill="1" applyBorder="1" applyAlignment="1">
      <alignment horizontal="center" vertical="center"/>
    </xf>
    <xf numFmtId="40" fontId="9" fillId="2" borderId="76" xfId="1" applyNumberFormat="1" applyFont="1" applyFill="1" applyBorder="1" applyAlignment="1" applyProtection="1">
      <alignment vertical="center" shrinkToFit="1"/>
      <protection locked="0"/>
    </xf>
    <xf numFmtId="40" fontId="9" fillId="2" borderId="102" xfId="1" applyNumberFormat="1" applyFont="1" applyFill="1" applyBorder="1" applyAlignment="1" applyProtection="1">
      <alignment vertical="center" shrinkToFit="1"/>
      <protection locked="0"/>
    </xf>
    <xf numFmtId="40" fontId="9" fillId="2" borderId="74" xfId="1" applyNumberFormat="1" applyFont="1" applyFill="1" applyBorder="1" applyAlignment="1" applyProtection="1">
      <alignment vertical="center" shrinkToFit="1"/>
      <protection locked="0"/>
    </xf>
    <xf numFmtId="38" fontId="9" fillId="2" borderId="76" xfId="1" applyFont="1" applyFill="1" applyBorder="1" applyAlignment="1" applyProtection="1">
      <alignment vertical="center" shrinkToFit="1"/>
      <protection locked="0"/>
    </xf>
    <xf numFmtId="38" fontId="9" fillId="2" borderId="76" xfId="1" applyFont="1" applyFill="1" applyBorder="1" applyProtection="1">
      <alignment vertical="center"/>
      <protection locked="0"/>
    </xf>
    <xf numFmtId="0" fontId="9" fillId="2" borderId="63" xfId="1" applyNumberFormat="1" applyFont="1" applyFill="1" applyBorder="1" applyAlignment="1" applyProtection="1">
      <alignment horizontal="center" vertical="center"/>
      <protection locked="0"/>
    </xf>
    <xf numFmtId="38" fontId="41" fillId="0" borderId="0" xfId="1" applyFont="1" applyBorder="1">
      <alignment vertical="center"/>
    </xf>
    <xf numFmtId="38" fontId="41" fillId="0" borderId="0" xfId="1" applyFont="1" applyBorder="1" applyAlignment="1">
      <alignment horizontal="center" vertical="center"/>
    </xf>
    <xf numFmtId="40" fontId="13" fillId="0" borderId="86" xfId="1" applyNumberFormat="1" applyFont="1" applyBorder="1" applyAlignment="1">
      <alignment vertical="center" shrinkToFit="1"/>
    </xf>
    <xf numFmtId="40" fontId="0" fillId="0" borderId="87" xfId="0" applyNumberFormat="1" applyBorder="1" applyAlignment="1">
      <alignment vertical="center" shrinkToFit="1"/>
    </xf>
    <xf numFmtId="40" fontId="0" fillId="0" borderId="88" xfId="0" applyNumberFormat="1" applyBorder="1" applyAlignment="1">
      <alignment vertical="center" shrinkToFit="1"/>
    </xf>
    <xf numFmtId="40" fontId="13" fillId="0" borderId="86" xfId="1" applyNumberFormat="1" applyFont="1" applyFill="1" applyBorder="1" applyAlignment="1">
      <alignment vertical="center" shrinkToFit="1"/>
    </xf>
    <xf numFmtId="40" fontId="13" fillId="0" borderId="87" xfId="1" applyNumberFormat="1" applyFont="1" applyFill="1" applyBorder="1" applyAlignment="1">
      <alignment vertical="center" shrinkToFit="1"/>
    </xf>
    <xf numFmtId="40" fontId="13" fillId="0" borderId="88" xfId="1" applyNumberFormat="1" applyFont="1" applyFill="1" applyBorder="1" applyAlignment="1">
      <alignment vertical="center" shrinkToFit="1"/>
    </xf>
    <xf numFmtId="38" fontId="24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>
      <alignment vertical="center"/>
    </xf>
    <xf numFmtId="40" fontId="13" fillId="0" borderId="103" xfId="1" applyNumberFormat="1" applyFont="1" applyBorder="1" applyAlignment="1">
      <alignment vertical="center" shrinkToFit="1"/>
    </xf>
    <xf numFmtId="40" fontId="13" fillId="0" borderId="104" xfId="1" applyNumberFormat="1" applyFont="1" applyBorder="1" applyAlignment="1">
      <alignment vertical="center" shrinkToFit="1"/>
    </xf>
    <xf numFmtId="40" fontId="13" fillId="0" borderId="105" xfId="1" applyNumberFormat="1" applyFont="1" applyBorder="1" applyAlignment="1">
      <alignment vertical="center" shrinkToFit="1"/>
    </xf>
    <xf numFmtId="181" fontId="21" fillId="0" borderId="0" xfId="1" applyNumberFormat="1" applyFont="1" applyBorder="1" applyAlignment="1">
      <alignment horizontal="center" vertical="center"/>
    </xf>
    <xf numFmtId="184" fontId="13" fillId="0" borderId="107" xfId="1" applyNumberFormat="1" applyFont="1" applyBorder="1" applyAlignment="1">
      <alignment vertical="center" shrinkToFit="1"/>
    </xf>
    <xf numFmtId="40" fontId="0" fillId="0" borderId="108" xfId="0" applyNumberFormat="1" applyBorder="1" applyAlignment="1">
      <alignment vertical="center" shrinkToFit="1"/>
    </xf>
    <xf numFmtId="40" fontId="0" fillId="0" borderId="109" xfId="0" applyNumberFormat="1" applyBorder="1" applyAlignment="1">
      <alignment vertical="center" shrinkToFit="1"/>
    </xf>
    <xf numFmtId="40" fontId="13" fillId="0" borderId="92" xfId="1" applyNumberFormat="1" applyFont="1" applyBorder="1" applyAlignment="1">
      <alignment vertical="center" shrinkToFit="1"/>
    </xf>
    <xf numFmtId="40" fontId="0" fillId="0" borderId="93" xfId="0" applyNumberFormat="1" applyBorder="1" applyAlignment="1">
      <alignment vertical="center" shrinkToFit="1"/>
    </xf>
    <xf numFmtId="40" fontId="0" fillId="0" borderId="94" xfId="0" applyNumberFormat="1" applyBorder="1" applyAlignment="1">
      <alignment vertical="center" shrinkToFit="1"/>
    </xf>
    <xf numFmtId="180" fontId="13" fillId="0" borderId="83" xfId="1" applyNumberFormat="1" applyFont="1" applyBorder="1" applyAlignment="1">
      <alignment vertical="center" shrinkToFit="1"/>
    </xf>
    <xf numFmtId="180" fontId="0" fillId="0" borderId="84" xfId="0" applyNumberFormat="1" applyBorder="1" applyAlignment="1">
      <alignment vertical="center" shrinkToFit="1"/>
    </xf>
    <xf numFmtId="180" fontId="0" fillId="0" borderId="85" xfId="0" applyNumberFormat="1" applyBorder="1" applyAlignment="1">
      <alignment vertical="center" shrinkToFit="1"/>
    </xf>
    <xf numFmtId="40" fontId="13" fillId="0" borderId="89" xfId="1" applyNumberFormat="1" applyFont="1" applyBorder="1" applyAlignment="1">
      <alignment vertical="center" shrinkToFit="1"/>
    </xf>
    <xf numFmtId="40" fontId="0" fillId="0" borderId="90" xfId="0" applyNumberFormat="1" applyBorder="1" applyAlignment="1">
      <alignment vertical="center" shrinkToFit="1"/>
    </xf>
    <xf numFmtId="40" fontId="0" fillId="0" borderId="91" xfId="0" applyNumberFormat="1" applyBorder="1" applyAlignment="1">
      <alignment vertical="center" shrinkToFit="1"/>
    </xf>
    <xf numFmtId="180" fontId="13" fillId="0" borderId="92" xfId="1" applyNumberFormat="1" applyFont="1" applyBorder="1" applyAlignment="1">
      <alignment vertical="center" shrinkToFit="1"/>
    </xf>
    <xf numFmtId="180" fontId="0" fillId="0" borderId="93" xfId="0" applyNumberFormat="1" applyBorder="1" applyAlignment="1">
      <alignment vertical="center" shrinkToFit="1"/>
    </xf>
    <xf numFmtId="180" fontId="0" fillId="0" borderId="94" xfId="0" applyNumberFormat="1" applyBorder="1" applyAlignment="1">
      <alignment vertical="center" shrinkToFit="1"/>
    </xf>
    <xf numFmtId="38" fontId="13" fillId="0" borderId="86" xfId="1" applyFont="1" applyBorder="1" applyAlignment="1">
      <alignment vertical="center" shrinkToFit="1"/>
    </xf>
    <xf numFmtId="38" fontId="13" fillId="0" borderId="87" xfId="1" applyFont="1" applyBorder="1" applyAlignment="1">
      <alignment vertical="center" shrinkToFit="1"/>
    </xf>
    <xf numFmtId="38" fontId="13" fillId="0" borderId="88" xfId="1" applyFont="1" applyBorder="1" applyAlignment="1">
      <alignment vertical="center" shrinkToFit="1"/>
    </xf>
    <xf numFmtId="40" fontId="21" fillId="0" borderId="0" xfId="1" quotePrefix="1" applyNumberFormat="1" applyFont="1" applyBorder="1" applyAlignment="1">
      <alignment horizontal="center" vertical="center"/>
    </xf>
    <xf numFmtId="40" fontId="0" fillId="0" borderId="0" xfId="0" applyNumberFormat="1">
      <alignment vertical="center"/>
    </xf>
    <xf numFmtId="38" fontId="21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40" fontId="13" fillId="0" borderId="87" xfId="1" applyNumberFormat="1" applyFont="1" applyBorder="1" applyAlignment="1">
      <alignment vertical="center" shrinkToFit="1"/>
    </xf>
    <xf numFmtId="40" fontId="13" fillId="0" borderId="88" xfId="1" applyNumberFormat="1" applyFont="1" applyBorder="1" applyAlignment="1">
      <alignment vertical="center" shrinkToFit="1"/>
    </xf>
    <xf numFmtId="38" fontId="9" fillId="0" borderId="0" xfId="1" applyFont="1" applyBorder="1" applyAlignment="1">
      <alignment vertical="center" shrinkToFit="1"/>
    </xf>
    <xf numFmtId="38" fontId="0" fillId="0" borderId="87" xfId="0" applyNumberFormat="1" applyBorder="1" applyAlignment="1">
      <alignment vertical="center" shrinkToFit="1"/>
    </xf>
    <xf numFmtId="38" fontId="0" fillId="0" borderId="88" xfId="0" applyNumberFormat="1" applyBorder="1" applyAlignment="1">
      <alignment vertical="center" shrinkToFit="1"/>
    </xf>
    <xf numFmtId="40" fontId="9" fillId="0" borderId="0" xfId="1" applyNumberFormat="1" applyFont="1" applyFill="1" applyBorder="1" applyAlignment="1">
      <alignment vertical="center" shrinkToFit="1"/>
    </xf>
    <xf numFmtId="40" fontId="0" fillId="0" borderId="0" xfId="0" applyNumberFormat="1" applyAlignment="1">
      <alignment vertical="center" shrinkToFit="1"/>
    </xf>
    <xf numFmtId="40" fontId="13" fillId="0" borderId="89" xfId="1" applyNumberFormat="1" applyFont="1" applyFill="1" applyBorder="1" applyAlignment="1">
      <alignment vertical="center" shrinkToFit="1"/>
    </xf>
    <xf numFmtId="181" fontId="21" fillId="0" borderId="106" xfId="1" applyNumberFormat="1" applyFont="1" applyBorder="1" applyAlignment="1">
      <alignment horizontal="center" vertical="center"/>
    </xf>
    <xf numFmtId="0" fontId="0" fillId="0" borderId="111" xfId="0" applyBorder="1">
      <alignment vertical="center"/>
    </xf>
    <xf numFmtId="40" fontId="13" fillId="0" borderId="103" xfId="1" applyNumberFormat="1" applyFont="1" applyFill="1" applyBorder="1" applyAlignment="1">
      <alignment vertical="center" shrinkToFit="1"/>
    </xf>
    <xf numFmtId="40" fontId="0" fillId="0" borderId="104" xfId="0" applyNumberFormat="1" applyBorder="1" applyAlignment="1">
      <alignment vertical="center" shrinkToFit="1"/>
    </xf>
    <xf numFmtId="40" fontId="0" fillId="0" borderId="105" xfId="0" applyNumberFormat="1" applyBorder="1" applyAlignment="1">
      <alignment vertical="center" shrinkToFit="1"/>
    </xf>
    <xf numFmtId="38" fontId="21" fillId="0" borderId="106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10" xfId="0" applyBorder="1">
      <alignment vertical="center"/>
    </xf>
    <xf numFmtId="38" fontId="13" fillId="0" borderId="103" xfId="1" applyFont="1" applyBorder="1" applyAlignment="1">
      <alignment vertical="center" shrinkToFit="1"/>
    </xf>
    <xf numFmtId="38" fontId="0" fillId="0" borderId="104" xfId="0" applyNumberFormat="1" applyBorder="1" applyAlignment="1">
      <alignment vertical="center" shrinkToFit="1"/>
    </xf>
    <xf numFmtId="38" fontId="0" fillId="0" borderId="105" xfId="0" applyNumberFormat="1" applyBorder="1" applyAlignment="1">
      <alignment vertical="center" shrinkToFit="1"/>
    </xf>
    <xf numFmtId="40" fontId="13" fillId="0" borderId="0" xfId="1" applyNumberFormat="1" applyFont="1" applyFill="1" applyBorder="1" applyAlignment="1">
      <alignment vertical="center" shrinkToFit="1"/>
    </xf>
    <xf numFmtId="38" fontId="25" fillId="0" borderId="0" xfId="1" applyFont="1" applyBorder="1" applyAlignment="1">
      <alignment vertical="center" wrapText="1"/>
    </xf>
    <xf numFmtId="38" fontId="21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0" fontId="13" fillId="0" borderId="98" xfId="1" applyNumberFormat="1" applyFont="1" applyBorder="1" applyAlignment="1">
      <alignment vertical="center" shrinkToFit="1"/>
    </xf>
    <xf numFmtId="40" fontId="0" fillId="0" borderId="99" xfId="0" applyNumberFormat="1" applyBorder="1" applyAlignment="1">
      <alignment vertical="center" shrinkToFit="1"/>
    </xf>
    <xf numFmtId="40" fontId="0" fillId="0" borderId="100" xfId="0" applyNumberFormat="1" applyBorder="1" applyAlignment="1">
      <alignment vertical="center" shrinkToFit="1"/>
    </xf>
    <xf numFmtId="40" fontId="13" fillId="0" borderId="83" xfId="1" applyNumberFormat="1" applyFont="1" applyBorder="1" applyAlignment="1">
      <alignment vertical="center" shrinkToFit="1"/>
    </xf>
    <xf numFmtId="40" fontId="0" fillId="0" borderId="84" xfId="0" applyNumberFormat="1" applyBorder="1" applyAlignment="1">
      <alignment vertical="center" shrinkToFit="1"/>
    </xf>
    <xf numFmtId="40" fontId="0" fillId="0" borderId="85" xfId="0" applyNumberFormat="1" applyBorder="1" applyAlignment="1">
      <alignment vertical="center" shrinkToFit="1"/>
    </xf>
    <xf numFmtId="180" fontId="13" fillId="0" borderId="95" xfId="1" applyNumberFormat="1" applyFont="1" applyBorder="1" applyAlignment="1">
      <alignment vertical="center" shrinkToFit="1"/>
    </xf>
    <xf numFmtId="180" fontId="0" fillId="0" borderId="96" xfId="0" applyNumberFormat="1" applyBorder="1" applyAlignment="1">
      <alignment vertical="center" shrinkToFit="1"/>
    </xf>
    <xf numFmtId="180" fontId="0" fillId="0" borderId="97" xfId="0" applyNumberFormat="1" applyBorder="1" applyAlignment="1">
      <alignment vertical="center" shrinkToFit="1"/>
    </xf>
    <xf numFmtId="40" fontId="13" fillId="0" borderId="0" xfId="1" applyNumberFormat="1" applyFont="1" applyBorder="1" applyAlignment="1">
      <alignment vertical="center" shrinkToFit="1"/>
    </xf>
    <xf numFmtId="40" fontId="13" fillId="0" borderId="107" xfId="1" applyNumberFormat="1" applyFont="1" applyFill="1" applyBorder="1" applyAlignment="1">
      <alignment vertical="center" shrinkToFit="1"/>
    </xf>
    <xf numFmtId="40" fontId="13" fillId="0" borderId="130" xfId="1" applyNumberFormat="1" applyFont="1" applyFill="1" applyBorder="1" applyAlignment="1">
      <alignment horizontal="center" vertical="center" shrinkToFit="1"/>
    </xf>
    <xf numFmtId="40" fontId="13" fillId="0" borderId="131" xfId="1" applyNumberFormat="1" applyFont="1" applyFill="1" applyBorder="1" applyAlignment="1">
      <alignment horizontal="center" vertical="center" shrinkToFit="1"/>
    </xf>
    <xf numFmtId="40" fontId="13" fillId="0" borderId="132" xfId="1" applyNumberFormat="1" applyFont="1" applyFill="1" applyBorder="1" applyAlignment="1">
      <alignment horizontal="center" vertical="center" shrinkToFit="1"/>
    </xf>
    <xf numFmtId="183" fontId="13" fillId="0" borderId="107" xfId="1" applyNumberFormat="1" applyFont="1" applyFill="1" applyBorder="1" applyAlignment="1">
      <alignment vertical="center" shrinkToFit="1"/>
    </xf>
    <xf numFmtId="183" fontId="0" fillId="0" borderId="108" xfId="0" applyNumberFormat="1" applyBorder="1" applyAlignment="1">
      <alignment vertical="center" shrinkToFit="1"/>
    </xf>
    <xf numFmtId="183" fontId="0" fillId="0" borderId="109" xfId="0" applyNumberFormat="1" applyBorder="1" applyAlignment="1">
      <alignment vertical="center" shrinkToFit="1"/>
    </xf>
    <xf numFmtId="38" fontId="9" fillId="0" borderId="86" xfId="1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38" fontId="12" fillId="0" borderId="0" xfId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12" fillId="0" borderId="56" xfId="1" applyFont="1" applyBorder="1" applyAlignment="1">
      <alignment horizontal="right" vertical="center" shrinkToFit="1"/>
    </xf>
    <xf numFmtId="0" fontId="8" fillId="0" borderId="56" xfId="0" applyFont="1" applyBorder="1" applyAlignment="1">
      <alignment horizontal="right" vertical="center" shrinkToFit="1"/>
    </xf>
    <xf numFmtId="38" fontId="10" fillId="0" borderId="133" xfId="1" applyFont="1" applyBorder="1" applyAlignment="1">
      <alignment horizontal="center" vertical="center" shrinkToFit="1"/>
    </xf>
    <xf numFmtId="38" fontId="10" fillId="0" borderId="134" xfId="1" applyFont="1" applyBorder="1" applyAlignment="1">
      <alignment horizontal="center" vertical="center" shrinkToFit="1"/>
    </xf>
    <xf numFmtId="49" fontId="9" fillId="0" borderId="0" xfId="1" quotePrefix="1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2" borderId="21" xfId="1" applyFont="1" applyFill="1" applyBorder="1" applyAlignment="1" applyProtection="1">
      <alignment vertical="center"/>
      <protection locked="0"/>
    </xf>
    <xf numFmtId="38" fontId="0" fillId="2" borderId="22" xfId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0" fontId="0" fillId="0" borderId="7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0" fontId="0" fillId="0" borderId="1" xfId="1" applyNumberFormat="1" applyFont="1" applyFill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38" fontId="0" fillId="2" borderId="17" xfId="1" applyFont="1" applyFill="1" applyBorder="1" applyAlignment="1" applyProtection="1">
      <alignment vertical="center"/>
      <protection locked="0"/>
    </xf>
    <xf numFmtId="38" fontId="0" fillId="2" borderId="18" xfId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3" borderId="2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40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0" fontId="0" fillId="0" borderId="2" xfId="0" applyNumberFormat="1" applyBorder="1" applyAlignment="1">
      <alignment horizontal="right" vertical="center"/>
    </xf>
    <xf numFmtId="40" fontId="0" fillId="0" borderId="3" xfId="0" applyNumberFormat="1" applyBorder="1" applyAlignment="1">
      <alignment horizontal="right" vertical="center"/>
    </xf>
    <xf numFmtId="40" fontId="0" fillId="0" borderId="0" xfId="1" applyNumberFormat="1" applyFont="1" applyAlignment="1">
      <alignment vertical="center"/>
    </xf>
    <xf numFmtId="38" fontId="0" fillId="2" borderId="19" xfId="1" applyFont="1" applyFill="1" applyBorder="1" applyAlignment="1" applyProtection="1">
      <alignment vertical="center"/>
      <protection locked="0"/>
    </xf>
    <xf numFmtId="38" fontId="0" fillId="2" borderId="20" xfId="1" applyFont="1" applyFill="1" applyBorder="1" applyAlignment="1" applyProtection="1">
      <alignment vertical="center"/>
      <protection locked="0"/>
    </xf>
    <xf numFmtId="38" fontId="0" fillId="2" borderId="15" xfId="1" applyFont="1" applyFill="1" applyBorder="1" applyAlignment="1" applyProtection="1">
      <alignment vertical="center"/>
      <protection locked="0"/>
    </xf>
    <xf numFmtId="38" fontId="0" fillId="2" borderId="16" xfId="1" applyFont="1" applyFill="1" applyBorder="1" applyAlignment="1" applyProtection="1">
      <alignment vertical="center"/>
      <protection locked="0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38" fontId="0" fillId="0" borderId="9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2" borderId="11" xfId="1" applyFont="1" applyFill="1" applyBorder="1" applyAlignment="1" applyProtection="1">
      <alignment vertical="center"/>
      <protection locked="0"/>
    </xf>
    <xf numFmtId="38" fontId="0" fillId="2" borderId="12" xfId="1" applyFont="1" applyFill="1" applyBorder="1" applyAlignment="1" applyProtection="1">
      <alignment vertical="center"/>
      <protection locked="0"/>
    </xf>
    <xf numFmtId="38" fontId="0" fillId="2" borderId="13" xfId="1" applyFont="1" applyFill="1" applyBorder="1" applyAlignment="1" applyProtection="1">
      <alignment vertical="center"/>
      <protection locked="0"/>
    </xf>
    <xf numFmtId="38" fontId="0" fillId="2" borderId="14" xfId="1" applyFont="1" applyFill="1" applyBorder="1" applyAlignment="1" applyProtection="1">
      <alignment vertical="center"/>
      <protection locked="0"/>
    </xf>
    <xf numFmtId="38" fontId="9" fillId="0" borderId="29" xfId="1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38" fontId="9" fillId="0" borderId="30" xfId="1" applyFon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38" fontId="9" fillId="4" borderId="40" xfId="1" applyFont="1" applyFill="1" applyBorder="1" applyAlignment="1">
      <alignment horizontal="center" vertical="center" wrapText="1" shrinkToFit="1"/>
    </xf>
    <xf numFmtId="0" fontId="0" fillId="4" borderId="31" xfId="0" applyFill="1" applyBorder="1" applyAlignment="1">
      <alignment horizontal="center" vertical="center" shrinkToFit="1"/>
    </xf>
    <xf numFmtId="38" fontId="9" fillId="4" borderId="30" xfId="1" applyFont="1" applyFill="1" applyBorder="1" applyAlignment="1">
      <alignment horizontal="center" vertical="center" wrapText="1" shrinkToFit="1"/>
    </xf>
    <xf numFmtId="0" fontId="0" fillId="4" borderId="33" xfId="0" applyFill="1" applyBorder="1" applyAlignment="1">
      <alignment horizontal="center" vertical="center" shrinkToFit="1"/>
    </xf>
    <xf numFmtId="38" fontId="12" fillId="0" borderId="49" xfId="1" applyFont="1" applyBorder="1" applyAlignment="1">
      <alignment horizontal="center" vertical="center"/>
    </xf>
    <xf numFmtId="0" fontId="8" fillId="0" borderId="49" xfId="0" applyFont="1" applyBorder="1">
      <alignment vertical="center"/>
    </xf>
    <xf numFmtId="40" fontId="37" fillId="0" borderId="116" xfId="1" applyNumberFormat="1" applyFont="1" applyBorder="1" applyAlignment="1">
      <alignment vertical="center" shrinkToFit="1"/>
    </xf>
    <xf numFmtId="40" fontId="37" fillId="0" borderId="117" xfId="1" applyNumberFormat="1" applyFont="1" applyBorder="1" applyAlignment="1">
      <alignment vertical="center" shrinkToFit="1"/>
    </xf>
    <xf numFmtId="40" fontId="37" fillId="0" borderId="118" xfId="1" applyNumberFormat="1" applyFont="1" applyBorder="1" applyAlignment="1">
      <alignment vertical="center" shrinkToFit="1"/>
    </xf>
    <xf numFmtId="40" fontId="30" fillId="0" borderId="121" xfId="1" applyNumberFormat="1" applyFont="1" applyBorder="1" applyAlignment="1">
      <alignment vertical="center" shrinkToFit="1"/>
    </xf>
    <xf numFmtId="40" fontId="39" fillId="0" borderId="122" xfId="0" applyNumberFormat="1" applyFont="1" applyBorder="1" applyAlignment="1">
      <alignment vertical="center" shrinkToFit="1"/>
    </xf>
    <xf numFmtId="40" fontId="39" fillId="0" borderId="123" xfId="0" applyNumberFormat="1" applyFont="1" applyBorder="1" applyAlignment="1">
      <alignment vertical="center" shrinkToFit="1"/>
    </xf>
    <xf numFmtId="40" fontId="37" fillId="0" borderId="113" xfId="1" applyNumberFormat="1" applyFont="1" applyBorder="1" applyAlignment="1">
      <alignment vertical="center" shrinkToFit="1"/>
    </xf>
    <xf numFmtId="40" fontId="38" fillId="0" borderId="114" xfId="0" applyNumberFormat="1" applyFont="1" applyBorder="1" applyAlignment="1">
      <alignment vertical="center" shrinkToFit="1"/>
    </xf>
    <xf numFmtId="40" fontId="38" fillId="0" borderId="115" xfId="0" applyNumberFormat="1" applyFont="1" applyBorder="1" applyAlignment="1">
      <alignment vertical="center" shrinkToFit="1"/>
    </xf>
    <xf numFmtId="181" fontId="21" fillId="0" borderId="119" xfId="1" applyNumberFormat="1" applyFont="1" applyBorder="1" applyAlignment="1">
      <alignment horizontal="center" vertical="center"/>
    </xf>
    <xf numFmtId="40" fontId="37" fillId="0" borderId="116" xfId="1" applyNumberFormat="1" applyFont="1" applyFill="1" applyBorder="1" applyAlignment="1">
      <alignment vertical="center" shrinkToFit="1"/>
    </xf>
    <xf numFmtId="40" fontId="38" fillId="0" borderId="117" xfId="0" applyNumberFormat="1" applyFont="1" applyBorder="1" applyAlignment="1">
      <alignment vertical="center" shrinkToFit="1"/>
    </xf>
    <xf numFmtId="40" fontId="38" fillId="0" borderId="118" xfId="0" applyNumberFormat="1" applyFont="1" applyBorder="1" applyAlignment="1">
      <alignment vertical="center" shrinkToFit="1"/>
    </xf>
    <xf numFmtId="40" fontId="37" fillId="0" borderId="114" xfId="1" applyNumberFormat="1" applyFont="1" applyBorder="1" applyAlignment="1">
      <alignment vertical="center" shrinkToFit="1"/>
    </xf>
    <xf numFmtId="40" fontId="37" fillId="0" borderId="115" xfId="1" applyNumberFormat="1" applyFont="1" applyBorder="1" applyAlignment="1">
      <alignment vertical="center" shrinkToFit="1"/>
    </xf>
    <xf numFmtId="40" fontId="30" fillId="0" borderId="98" xfId="1" applyNumberFormat="1" applyFont="1" applyBorder="1" applyAlignment="1">
      <alignment vertical="center" shrinkToFit="1"/>
    </xf>
    <xf numFmtId="40" fontId="30" fillId="0" borderId="99" xfId="1" applyNumberFormat="1" applyFont="1" applyBorder="1" applyAlignment="1">
      <alignment vertical="center" shrinkToFit="1"/>
    </xf>
    <xf numFmtId="40" fontId="30" fillId="0" borderId="100" xfId="1" applyNumberFormat="1" applyFont="1" applyBorder="1" applyAlignment="1">
      <alignment vertical="center" shrinkToFit="1"/>
    </xf>
    <xf numFmtId="40" fontId="30" fillId="0" borderId="121" xfId="1" applyNumberFormat="1" applyFont="1" applyFill="1" applyBorder="1" applyAlignment="1">
      <alignment vertical="center" shrinkToFit="1"/>
    </xf>
    <xf numFmtId="40" fontId="39" fillId="0" borderId="124" xfId="0" applyNumberFormat="1" applyFont="1" applyBorder="1" applyAlignment="1">
      <alignment vertical="center" shrinkToFit="1"/>
    </xf>
    <xf numFmtId="40" fontId="30" fillId="0" borderId="89" xfId="1" applyNumberFormat="1" applyFont="1" applyBorder="1" applyAlignment="1">
      <alignment vertical="center" shrinkToFit="1"/>
    </xf>
    <xf numFmtId="40" fontId="39" fillId="0" borderId="90" xfId="0" applyNumberFormat="1" applyFont="1" applyBorder="1" applyAlignment="1">
      <alignment vertical="center" shrinkToFit="1"/>
    </xf>
    <xf numFmtId="40" fontId="39" fillId="0" borderId="91" xfId="0" applyNumberFormat="1" applyFont="1" applyBorder="1" applyAlignment="1">
      <alignment vertical="center" shrinkToFit="1"/>
    </xf>
    <xf numFmtId="40" fontId="30" fillId="0" borderId="122" xfId="1" applyNumberFormat="1" applyFont="1" applyBorder="1" applyAlignment="1">
      <alignment vertical="center" shrinkToFit="1"/>
    </xf>
    <xf numFmtId="40" fontId="30" fillId="0" borderId="123" xfId="1" applyNumberFormat="1" applyFont="1" applyBorder="1" applyAlignment="1">
      <alignment vertical="center" shrinkToFit="1"/>
    </xf>
    <xf numFmtId="0" fontId="0" fillId="0" borderId="125" xfId="0" applyBorder="1">
      <alignment vertical="center"/>
    </xf>
    <xf numFmtId="182" fontId="13" fillId="0" borderId="95" xfId="1" applyNumberFormat="1" applyFont="1" applyBorder="1" applyAlignment="1">
      <alignment vertical="center" shrinkToFit="1"/>
    </xf>
    <xf numFmtId="182" fontId="0" fillId="0" borderId="96" xfId="0" applyNumberFormat="1" applyBorder="1" applyAlignment="1">
      <alignment vertical="center" shrinkToFit="1"/>
    </xf>
    <xf numFmtId="182" fontId="0" fillId="0" borderId="97" xfId="0" applyNumberFormat="1" applyBorder="1" applyAlignment="1">
      <alignment vertical="center" shrinkToFit="1"/>
    </xf>
    <xf numFmtId="180" fontId="13" fillId="2" borderId="95" xfId="1" applyNumberFormat="1" applyFont="1" applyFill="1" applyBorder="1" applyAlignment="1">
      <alignment vertical="center" shrinkToFit="1"/>
    </xf>
    <xf numFmtId="180" fontId="0" fillId="2" borderId="96" xfId="0" applyNumberFormat="1" applyFill="1" applyBorder="1" applyAlignment="1">
      <alignment vertical="center" shrinkToFit="1"/>
    </xf>
    <xf numFmtId="180" fontId="0" fillId="2" borderId="97" xfId="0" applyNumberFormat="1" applyFill="1" applyBorder="1" applyAlignment="1">
      <alignment vertical="center" shrinkToFit="1"/>
    </xf>
    <xf numFmtId="40" fontId="9" fillId="0" borderId="119" xfId="1" applyNumberFormat="1" applyFont="1" applyFill="1" applyBorder="1" applyAlignment="1">
      <alignment horizontal="center" vertical="center" shrinkToFit="1"/>
    </xf>
    <xf numFmtId="40" fontId="0" fillId="0" borderId="0" xfId="0" applyNumberFormat="1" applyAlignment="1">
      <alignment horizontal="center" vertical="center" shrinkToFit="1"/>
    </xf>
    <xf numFmtId="0" fontId="0" fillId="0" borderId="120" xfId="0" applyBorder="1" applyAlignment="1">
      <alignment horizontal="center" vertical="center"/>
    </xf>
    <xf numFmtId="40" fontId="37" fillId="0" borderId="113" xfId="1" applyNumberFormat="1" applyFont="1" applyFill="1" applyBorder="1" applyAlignment="1">
      <alignment vertical="center" shrinkToFit="1"/>
    </xf>
    <xf numFmtId="40" fontId="37" fillId="0" borderId="114" xfId="1" applyNumberFormat="1" applyFont="1" applyFill="1" applyBorder="1" applyAlignment="1">
      <alignment vertical="center" shrinkToFit="1"/>
    </xf>
    <xf numFmtId="40" fontId="37" fillId="0" borderId="115" xfId="1" applyNumberFormat="1" applyFont="1" applyFill="1" applyBorder="1" applyAlignment="1">
      <alignment vertical="center" shrinkToFit="1"/>
    </xf>
    <xf numFmtId="180" fontId="13" fillId="0" borderId="93" xfId="1" applyNumberFormat="1" applyFont="1" applyBorder="1" applyAlignment="1">
      <alignment vertical="center" shrinkToFit="1"/>
    </xf>
    <xf numFmtId="180" fontId="13" fillId="0" borderId="94" xfId="1" applyNumberFormat="1" applyFont="1" applyBorder="1" applyAlignment="1">
      <alignment vertical="center" shrinkToFit="1"/>
    </xf>
    <xf numFmtId="180" fontId="13" fillId="0" borderId="84" xfId="1" applyNumberFormat="1" applyFont="1" applyBorder="1" applyAlignment="1">
      <alignment vertical="center" shrinkToFit="1"/>
    </xf>
    <xf numFmtId="180" fontId="13" fillId="0" borderId="85" xfId="1" applyNumberFormat="1" applyFont="1" applyBorder="1" applyAlignment="1">
      <alignment vertical="center" shrinkToFit="1"/>
    </xf>
    <xf numFmtId="0" fontId="0" fillId="0" borderId="126" xfId="0" applyBorder="1">
      <alignment vertical="center"/>
    </xf>
    <xf numFmtId="38" fontId="21" fillId="0" borderId="0" xfId="1" quotePrefix="1" applyFont="1" applyAlignment="1">
      <alignment horizontal="center" vertical="center"/>
    </xf>
    <xf numFmtId="0" fontId="40" fillId="0" borderId="96" xfId="0" applyFont="1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fill>
        <patternFill>
          <bgColor rgb="FFCCFFFF"/>
        </patternFill>
      </fill>
    </dxf>
    <dxf>
      <fill>
        <patternFill>
          <bgColor rgb="FFCCFFFF"/>
        </patternFill>
      </fill>
    </dxf>
    <dxf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theme="0"/>
      </font>
      <numFmt numFmtId="0" formatCode="General"/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30</xdr:row>
      <xdr:rowOff>104775</xdr:rowOff>
    </xdr:from>
    <xdr:to>
      <xdr:col>25</xdr:col>
      <xdr:colOff>257175</xdr:colOff>
      <xdr:row>30</xdr:row>
      <xdr:rowOff>104775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72200" y="3905250"/>
          <a:ext cx="990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95250</xdr:colOff>
      <xdr:row>30</xdr:row>
      <xdr:rowOff>104775</xdr:rowOff>
    </xdr:from>
    <xdr:to>
      <xdr:col>25</xdr:col>
      <xdr:colOff>257175</xdr:colOff>
      <xdr:row>30</xdr:row>
      <xdr:rowOff>104775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172200" y="3905250"/>
          <a:ext cx="990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28</xdr:row>
      <xdr:rowOff>104775</xdr:rowOff>
    </xdr:from>
    <xdr:to>
      <xdr:col>25</xdr:col>
      <xdr:colOff>257175</xdr:colOff>
      <xdr:row>28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6172200" y="5638800"/>
          <a:ext cx="990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95250</xdr:colOff>
      <xdr:row>28</xdr:row>
      <xdr:rowOff>104775</xdr:rowOff>
    </xdr:from>
    <xdr:to>
      <xdr:col>25</xdr:col>
      <xdr:colOff>257175</xdr:colOff>
      <xdr:row>28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172200" y="5638800"/>
          <a:ext cx="990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A1:AZ73"/>
  <sheetViews>
    <sheetView topLeftCell="E1" zoomScaleNormal="100" zoomScaleSheetLayoutView="90" workbookViewId="0">
      <selection activeCell="X40" sqref="X40"/>
    </sheetView>
  </sheetViews>
  <sheetFormatPr defaultColWidth="9" defaultRowHeight="13.5" x14ac:dyDescent="0.15"/>
  <cols>
    <col min="1" max="4" width="3.625" style="33" hidden="1" customWidth="1"/>
    <col min="5" max="8" width="3.625" style="33" customWidth="1"/>
    <col min="9" max="9" width="3.625" style="34" customWidth="1"/>
    <col min="10" max="12" width="3.625" style="33" customWidth="1"/>
    <col min="13" max="13" width="3.625" style="34" customWidth="1"/>
    <col min="14" max="18" width="3.625" style="33" customWidth="1"/>
    <col min="19" max="19" width="3.625" style="34" customWidth="1"/>
    <col min="20" max="31" width="3.625" style="33" customWidth="1"/>
    <col min="32" max="52" width="3.625" style="33" hidden="1" customWidth="1"/>
    <col min="53" max="72" width="3.625" style="33" customWidth="1"/>
    <col min="73" max="16384" width="9" style="33"/>
  </cols>
  <sheetData>
    <row r="1" spans="1:40" ht="18.75" x14ac:dyDescent="0.15">
      <c r="A1" s="175"/>
      <c r="E1" s="121" t="s">
        <v>259</v>
      </c>
      <c r="F1" s="111"/>
      <c r="G1" s="111"/>
      <c r="H1" s="111"/>
      <c r="I1" s="112"/>
      <c r="J1" s="111"/>
      <c r="K1" s="111"/>
      <c r="L1" s="111"/>
      <c r="M1" s="112"/>
      <c r="U1" s="190"/>
      <c r="V1" s="190" t="str">
        <f>IF(入力シート!L19=0,"一般","現職組合員")</f>
        <v>一般</v>
      </c>
    </row>
    <row r="2" spans="1:40" ht="15" customHeight="1" x14ac:dyDescent="0.15">
      <c r="AA2" s="175"/>
      <c r="AB2" s="48"/>
      <c r="AC2" s="48"/>
      <c r="AD2" s="48"/>
    </row>
    <row r="3" spans="1:40" x14ac:dyDescent="0.15">
      <c r="C3" s="48"/>
      <c r="D3" s="162"/>
      <c r="E3" s="48"/>
      <c r="F3" s="48"/>
      <c r="G3" s="48"/>
      <c r="H3" s="48"/>
      <c r="I3" s="65"/>
      <c r="J3" s="48"/>
      <c r="K3" s="48"/>
      <c r="L3" s="48"/>
      <c r="M3" s="65"/>
      <c r="N3" s="48"/>
      <c r="O3" s="48"/>
      <c r="P3" s="48"/>
      <c r="Q3" s="48"/>
      <c r="R3" s="48"/>
      <c r="S3" s="65"/>
      <c r="T3" s="48"/>
      <c r="U3" s="48"/>
      <c r="V3" s="48"/>
      <c r="W3" s="48"/>
      <c r="X3" s="48"/>
      <c r="Y3" s="48"/>
      <c r="Z3" s="48"/>
      <c r="AE3" s="48"/>
      <c r="AF3" s="163"/>
      <c r="AG3" s="48"/>
    </row>
    <row r="4" spans="1:40" ht="13.5" customHeight="1" x14ac:dyDescent="0.15">
      <c r="C4" s="48"/>
      <c r="D4" s="162"/>
      <c r="E4" s="48"/>
      <c r="F4" s="291" t="s">
        <v>197</v>
      </c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167"/>
      <c r="AF4" s="163"/>
      <c r="AG4" s="48"/>
    </row>
    <row r="5" spans="1:40" x14ac:dyDescent="0.15">
      <c r="C5" s="48"/>
      <c r="D5" s="162"/>
      <c r="E5" s="48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167"/>
      <c r="AF5" s="163"/>
      <c r="AG5" s="48"/>
    </row>
    <row r="6" spans="1:40" x14ac:dyDescent="0.15">
      <c r="C6" s="48"/>
      <c r="D6" s="162"/>
      <c r="E6" s="4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48"/>
      <c r="AF6" s="163"/>
      <c r="AG6" s="48"/>
    </row>
    <row r="7" spans="1:40" ht="17.25" x14ac:dyDescent="0.15">
      <c r="C7" s="48"/>
      <c r="D7" s="162"/>
      <c r="E7" s="208" t="s">
        <v>177</v>
      </c>
      <c r="F7" s="48"/>
      <c r="G7" s="48"/>
      <c r="H7" s="48"/>
      <c r="I7" s="65"/>
      <c r="J7" s="48"/>
      <c r="K7" s="48"/>
      <c r="L7" s="48"/>
      <c r="M7" s="65"/>
      <c r="N7" s="48"/>
      <c r="O7" s="48"/>
      <c r="P7" s="48"/>
      <c r="Q7" s="48"/>
      <c r="R7" s="48"/>
      <c r="S7" s="65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163"/>
      <c r="AG7" s="48"/>
    </row>
    <row r="8" spans="1:40" ht="13.5" customHeight="1" x14ac:dyDescent="0.15">
      <c r="C8" s="48"/>
      <c r="D8" s="162"/>
      <c r="E8" s="48"/>
      <c r="F8" s="48"/>
      <c r="G8" s="48"/>
      <c r="H8" s="48"/>
      <c r="I8" s="65"/>
      <c r="J8" s="48"/>
      <c r="K8" s="48"/>
      <c r="L8" s="48"/>
      <c r="M8" s="65"/>
      <c r="N8" s="48"/>
      <c r="O8" s="48"/>
      <c r="P8" s="48"/>
      <c r="Q8" s="48"/>
      <c r="R8" s="48"/>
      <c r="S8" s="65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163"/>
      <c r="AG8" s="48"/>
    </row>
    <row r="9" spans="1:40" ht="14.25" customHeight="1" thickBot="1" x14ac:dyDescent="0.2">
      <c r="C9" s="48"/>
      <c r="D9" s="162"/>
      <c r="E9" s="48"/>
      <c r="F9" s="48"/>
      <c r="G9" s="48"/>
      <c r="H9" s="119"/>
      <c r="I9" s="180" t="s">
        <v>1</v>
      </c>
      <c r="J9" s="180"/>
      <c r="K9" s="65"/>
      <c r="L9" s="119"/>
      <c r="M9" s="180" t="s">
        <v>58</v>
      </c>
      <c r="N9" s="180"/>
      <c r="O9" s="48"/>
      <c r="P9" s="119"/>
      <c r="Q9" s="180" t="s">
        <v>58</v>
      </c>
      <c r="R9" s="180"/>
      <c r="S9" s="48"/>
      <c r="T9" s="119"/>
      <c r="U9" s="180" t="s">
        <v>58</v>
      </c>
      <c r="V9" s="180"/>
      <c r="W9" s="48"/>
      <c r="X9" s="48"/>
      <c r="Y9" s="48"/>
      <c r="Z9" s="180"/>
      <c r="AA9" s="180"/>
      <c r="AB9" s="180" t="s">
        <v>186</v>
      </c>
      <c r="AC9" s="180"/>
      <c r="AD9" s="48"/>
      <c r="AE9" s="48"/>
      <c r="AF9" s="163"/>
      <c r="AG9" s="48"/>
      <c r="AI9" s="176" t="s">
        <v>159</v>
      </c>
      <c r="AL9" s="180"/>
      <c r="AM9" s="180"/>
      <c r="AN9" s="180"/>
    </row>
    <row r="10" spans="1:40" ht="14.25" customHeight="1" thickTop="1" thickBot="1" x14ac:dyDescent="0.2">
      <c r="C10" s="48"/>
      <c r="D10" s="162"/>
      <c r="E10" s="48"/>
      <c r="F10" s="119" t="s">
        <v>125</v>
      </c>
      <c r="G10" s="48"/>
      <c r="H10" s="264">
        <f>+入力シート!D6</f>
        <v>88000</v>
      </c>
      <c r="I10" s="274"/>
      <c r="J10" s="275"/>
      <c r="K10" s="179" t="s">
        <v>142</v>
      </c>
      <c r="L10" s="264">
        <f>+入力シート!E6</f>
        <v>0</v>
      </c>
      <c r="M10" s="265"/>
      <c r="N10" s="266"/>
      <c r="O10" s="164" t="s">
        <v>143</v>
      </c>
      <c r="P10" s="264">
        <f>+入力シート!F6</f>
        <v>0</v>
      </c>
      <c r="Q10" s="265"/>
      <c r="R10" s="266"/>
      <c r="S10" s="164" t="s">
        <v>122</v>
      </c>
      <c r="T10" s="264">
        <f>+入力シート!G6</f>
        <v>0</v>
      </c>
      <c r="U10" s="265"/>
      <c r="V10" s="266"/>
      <c r="W10" s="267" t="s">
        <v>144</v>
      </c>
      <c r="X10" s="268"/>
      <c r="Y10" s="268"/>
      <c r="Z10" s="164" t="s">
        <v>145</v>
      </c>
      <c r="AA10" s="258">
        <f>ROUNDDOWN(AH10,0)</f>
        <v>88000</v>
      </c>
      <c r="AB10" s="259"/>
      <c r="AC10" s="260"/>
      <c r="AD10" s="48"/>
      <c r="AE10" s="48"/>
      <c r="AF10" s="163"/>
      <c r="AG10" s="48" t="s">
        <v>141</v>
      </c>
      <c r="AH10" s="255">
        <f>+H10+(L10+P10+T10)/12</f>
        <v>88000</v>
      </c>
      <c r="AI10" s="256"/>
      <c r="AJ10" s="257"/>
      <c r="AL10" s="252">
        <f>+算定シート1!D19</f>
        <v>88000</v>
      </c>
      <c r="AM10" s="253"/>
      <c r="AN10" s="254"/>
    </row>
    <row r="11" spans="1:40" ht="14.25" customHeight="1" x14ac:dyDescent="0.15">
      <c r="C11" s="48"/>
      <c r="D11" s="162"/>
      <c r="E11" s="48"/>
      <c r="F11" s="48"/>
      <c r="G11" s="48"/>
      <c r="H11" s="48"/>
      <c r="I11" s="65"/>
      <c r="J11" s="48"/>
      <c r="K11" s="48"/>
      <c r="L11" s="48"/>
      <c r="M11" s="65"/>
      <c r="N11" s="48"/>
      <c r="O11" s="48"/>
      <c r="P11" s="48"/>
      <c r="Q11" s="48"/>
      <c r="R11" s="48"/>
      <c r="S11" s="65"/>
      <c r="T11" s="48"/>
      <c r="U11" s="48"/>
      <c r="V11" s="48"/>
      <c r="W11" s="48"/>
      <c r="X11" s="48"/>
      <c r="Y11" s="48"/>
      <c r="Z11" s="48"/>
      <c r="AA11" s="48"/>
      <c r="AB11" s="205" t="s">
        <v>128</v>
      </c>
      <c r="AC11" s="48"/>
      <c r="AD11" s="48"/>
      <c r="AE11" s="48"/>
      <c r="AF11" s="163"/>
      <c r="AG11" s="48"/>
    </row>
    <row r="12" spans="1:40" ht="14.25" customHeight="1" x14ac:dyDescent="0.15">
      <c r="C12" s="48"/>
      <c r="D12" s="162"/>
      <c r="E12" s="48"/>
      <c r="F12" s="48"/>
      <c r="G12" s="48"/>
      <c r="H12" s="48"/>
      <c r="I12" s="65"/>
      <c r="J12" s="48"/>
      <c r="K12" s="48"/>
      <c r="L12" s="48"/>
      <c r="M12" s="65"/>
      <c r="N12" s="48"/>
      <c r="O12" s="48"/>
      <c r="P12" s="48"/>
      <c r="Q12" s="48"/>
      <c r="R12" s="48"/>
      <c r="S12" s="65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163"/>
      <c r="AG12" s="48"/>
    </row>
    <row r="13" spans="1:40" ht="14.25" customHeight="1" thickBot="1" x14ac:dyDescent="0.2">
      <c r="C13" s="48"/>
      <c r="D13" s="162"/>
      <c r="E13" s="48"/>
      <c r="F13" s="51"/>
      <c r="G13" s="51"/>
      <c r="H13" s="51"/>
      <c r="I13" s="53"/>
      <c r="J13" s="195"/>
      <c r="K13" s="196" t="s">
        <v>15</v>
      </c>
      <c r="L13" s="196"/>
      <c r="M13" s="51"/>
      <c r="N13" s="51"/>
      <c r="O13" s="51"/>
      <c r="P13" s="196"/>
      <c r="Q13" s="196" t="s">
        <v>193</v>
      </c>
      <c r="R13" s="196"/>
      <c r="S13" s="51"/>
      <c r="T13" s="51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163"/>
      <c r="AG13" s="48"/>
      <c r="AI13" s="176" t="s">
        <v>160</v>
      </c>
      <c r="AM13" s="180"/>
    </row>
    <row r="14" spans="1:40" ht="14.25" customHeight="1" thickTop="1" thickBot="1" x14ac:dyDescent="0.2">
      <c r="C14" s="48"/>
      <c r="D14" s="162"/>
      <c r="E14" s="48"/>
      <c r="F14" s="269" t="s">
        <v>187</v>
      </c>
      <c r="G14" s="270"/>
      <c r="H14" s="270"/>
      <c r="I14" s="53"/>
      <c r="J14" s="239">
        <f>+入力シート!D15</f>
        <v>0</v>
      </c>
      <c r="K14" s="237"/>
      <c r="L14" s="238"/>
      <c r="M14" s="276" t="s">
        <v>150</v>
      </c>
      <c r="N14" s="277"/>
      <c r="O14" s="277"/>
      <c r="P14" s="278">
        <f>ROUND(AH14,2)</f>
        <v>0</v>
      </c>
      <c r="Q14" s="259"/>
      <c r="R14" s="260"/>
      <c r="S14" s="51"/>
      <c r="T14" s="51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163"/>
      <c r="AG14" s="48"/>
      <c r="AH14" s="255">
        <f>+J14/12</f>
        <v>0</v>
      </c>
      <c r="AI14" s="256"/>
      <c r="AJ14" s="257"/>
      <c r="AL14" s="252">
        <f>+算定シート1!D30</f>
        <v>0</v>
      </c>
      <c r="AM14" s="253"/>
      <c r="AN14" s="254"/>
    </row>
    <row r="15" spans="1:40" ht="14.25" customHeight="1" x14ac:dyDescent="0.15">
      <c r="C15" s="48"/>
      <c r="D15" s="162"/>
      <c r="E15" s="48"/>
      <c r="F15" s="48"/>
      <c r="G15" s="48"/>
      <c r="H15" s="48"/>
      <c r="I15" s="65"/>
      <c r="J15" s="48"/>
      <c r="K15" s="48"/>
      <c r="L15" s="48"/>
      <c r="M15" s="65"/>
      <c r="N15" s="48"/>
      <c r="O15" s="48"/>
      <c r="P15" s="48"/>
      <c r="Q15" s="48"/>
      <c r="R15" s="48"/>
      <c r="S15" s="65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163"/>
      <c r="AG15" s="48"/>
    </row>
    <row r="16" spans="1:40" ht="14.25" customHeight="1" thickBot="1" x14ac:dyDescent="0.2">
      <c r="C16" s="48"/>
      <c r="D16" s="162"/>
      <c r="E16" s="48"/>
      <c r="F16" s="48"/>
      <c r="G16" s="48"/>
      <c r="H16" s="48"/>
      <c r="I16" s="48"/>
      <c r="J16" s="165"/>
      <c r="K16" s="166"/>
      <c r="L16" s="177" t="s">
        <v>127</v>
      </c>
      <c r="M16" s="167"/>
      <c r="N16" s="165"/>
      <c r="O16" s="166" t="s">
        <v>138</v>
      </c>
      <c r="P16" s="166"/>
      <c r="Q16" s="167"/>
      <c r="R16" s="182" t="s">
        <v>139</v>
      </c>
      <c r="S16" s="33"/>
      <c r="T16" s="166"/>
      <c r="U16" s="48"/>
      <c r="V16" s="48"/>
      <c r="W16" s="48"/>
      <c r="X16" s="48"/>
      <c r="Z16" s="180" t="s">
        <v>194</v>
      </c>
      <c r="AF16" s="163"/>
      <c r="AG16" s="48"/>
      <c r="AI16" s="176" t="s">
        <v>160</v>
      </c>
      <c r="AL16" s="180"/>
      <c r="AM16" s="180"/>
    </row>
    <row r="17" spans="3:44" ht="14.25" customHeight="1" thickTop="1" thickBot="1" x14ac:dyDescent="0.2">
      <c r="C17" s="48"/>
      <c r="D17" s="162"/>
      <c r="E17" s="48"/>
      <c r="F17" s="269" t="s">
        <v>188</v>
      </c>
      <c r="G17" s="270"/>
      <c r="H17" s="270"/>
      <c r="I17" s="168" t="s">
        <v>146</v>
      </c>
      <c r="J17" s="236">
        <f>+入力シート!D9</f>
        <v>0</v>
      </c>
      <c r="K17" s="237"/>
      <c r="L17" s="238"/>
      <c r="M17" s="164" t="s">
        <v>147</v>
      </c>
      <c r="N17" s="236">
        <f>+入力シート!E9</f>
        <v>0</v>
      </c>
      <c r="O17" s="271"/>
      <c r="P17" s="272"/>
      <c r="Q17" s="164" t="s">
        <v>147</v>
      </c>
      <c r="R17" s="236">
        <f>+入力シート!F9</f>
        <v>0</v>
      </c>
      <c r="S17" s="271"/>
      <c r="T17" s="272"/>
      <c r="U17" s="273" t="s">
        <v>148</v>
      </c>
      <c r="V17" s="270"/>
      <c r="W17" s="270"/>
      <c r="X17" s="244"/>
      <c r="Y17" s="258">
        <f>ROUND(AH17,2)</f>
        <v>0</v>
      </c>
      <c r="Z17" s="259"/>
      <c r="AA17" s="260"/>
      <c r="AF17" s="163"/>
      <c r="AG17" s="48" t="s">
        <v>149</v>
      </c>
      <c r="AH17" s="255">
        <f>+(J17-N17-R17)/12</f>
        <v>0</v>
      </c>
      <c r="AI17" s="256"/>
      <c r="AJ17" s="257"/>
      <c r="AL17" s="252">
        <f>+算定シート1!D25</f>
        <v>0</v>
      </c>
      <c r="AM17" s="253"/>
      <c r="AN17" s="254"/>
    </row>
    <row r="18" spans="3:44" ht="14.25" customHeight="1" x14ac:dyDescent="0.15">
      <c r="C18" s="48"/>
      <c r="D18" s="162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65"/>
      <c r="AE18" s="48"/>
      <c r="AF18" s="163"/>
      <c r="AG18" s="48"/>
    </row>
    <row r="19" spans="3:44" ht="14.25" customHeight="1" thickBot="1" x14ac:dyDescent="0.2">
      <c r="C19" s="48"/>
      <c r="D19" s="162"/>
      <c r="E19" s="48"/>
      <c r="F19" s="51"/>
      <c r="G19" s="51"/>
      <c r="H19" s="51"/>
      <c r="I19" s="53"/>
      <c r="J19" s="195"/>
      <c r="K19" s="196" t="s">
        <v>15</v>
      </c>
      <c r="L19" s="196"/>
      <c r="M19" s="51"/>
      <c r="N19" s="51"/>
      <c r="O19" s="51"/>
      <c r="P19" s="196"/>
      <c r="Q19" s="196" t="s">
        <v>195</v>
      </c>
      <c r="R19" s="196"/>
      <c r="S19" s="51"/>
      <c r="T19" s="51"/>
      <c r="U19" s="48"/>
      <c r="V19" s="48"/>
      <c r="W19" s="48"/>
      <c r="X19" s="48"/>
      <c r="Y19" s="48"/>
      <c r="Z19" s="48"/>
      <c r="AA19" s="48"/>
      <c r="AB19" s="48"/>
      <c r="AC19" s="48"/>
      <c r="AD19" s="65"/>
      <c r="AE19" s="48"/>
      <c r="AF19" s="163"/>
      <c r="AG19" s="48"/>
      <c r="AI19" s="176" t="s">
        <v>160</v>
      </c>
      <c r="AM19" s="180"/>
    </row>
    <row r="20" spans="3:44" ht="14.25" customHeight="1" thickTop="1" thickBot="1" x14ac:dyDescent="0.2">
      <c r="C20" s="48"/>
      <c r="D20" s="162"/>
      <c r="E20" s="48"/>
      <c r="F20" s="269" t="s">
        <v>189</v>
      </c>
      <c r="G20" s="270"/>
      <c r="H20" s="270"/>
      <c r="I20" s="53"/>
      <c r="J20" s="239">
        <f>+入力シート!D12</f>
        <v>0</v>
      </c>
      <c r="K20" s="237"/>
      <c r="L20" s="238"/>
      <c r="M20" s="276" t="s">
        <v>150</v>
      </c>
      <c r="N20" s="277"/>
      <c r="O20" s="277"/>
      <c r="P20" s="278">
        <f>ROUND(AH20,2)</f>
        <v>0</v>
      </c>
      <c r="Q20" s="259"/>
      <c r="R20" s="260"/>
      <c r="S20" s="51"/>
      <c r="AE20" s="48"/>
      <c r="AF20" s="163"/>
      <c r="AG20" s="48"/>
      <c r="AH20" s="255">
        <f>+J20/12</f>
        <v>0</v>
      </c>
      <c r="AI20" s="256"/>
      <c r="AJ20" s="257"/>
      <c r="AL20" s="261" t="s">
        <v>164</v>
      </c>
      <c r="AM20" s="262"/>
      <c r="AN20" s="263"/>
    </row>
    <row r="21" spans="3:44" ht="14.25" customHeight="1" x14ac:dyDescent="0.15">
      <c r="C21" s="48"/>
      <c r="D21" s="162"/>
      <c r="E21" s="48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AE21" s="48"/>
      <c r="AF21" s="163"/>
      <c r="AG21" s="48"/>
    </row>
    <row r="22" spans="3:44" ht="14.25" customHeight="1" thickBot="1" x14ac:dyDescent="0.2">
      <c r="C22" s="48"/>
      <c r="D22" s="162"/>
      <c r="E22" s="48"/>
      <c r="F22" s="51" t="s">
        <v>151</v>
      </c>
      <c r="G22" s="51"/>
      <c r="H22" s="51"/>
      <c r="I22" s="53"/>
      <c r="J22" s="195"/>
      <c r="K22" s="196" t="s">
        <v>193</v>
      </c>
      <c r="L22" s="196"/>
      <c r="M22" s="51"/>
      <c r="N22" s="195"/>
      <c r="O22" s="196" t="s">
        <v>194</v>
      </c>
      <c r="P22" s="196"/>
      <c r="Q22" s="197"/>
      <c r="R22" s="195"/>
      <c r="S22" s="196" t="s">
        <v>195</v>
      </c>
      <c r="T22" s="196"/>
      <c r="U22" s="48"/>
      <c r="V22" s="180"/>
      <c r="W22" s="180" t="s">
        <v>179</v>
      </c>
      <c r="X22" s="180"/>
      <c r="AF22" s="163"/>
      <c r="AG22" s="48"/>
    </row>
    <row r="23" spans="3:44" ht="14.25" customHeight="1" thickTop="1" thickBot="1" x14ac:dyDescent="0.2">
      <c r="C23" s="48"/>
      <c r="D23" s="162"/>
      <c r="E23" s="48"/>
      <c r="F23" s="195" t="s">
        <v>179</v>
      </c>
      <c r="G23" s="51"/>
      <c r="H23" s="51"/>
      <c r="I23" s="53"/>
      <c r="J23" s="239">
        <f>+P14</f>
        <v>0</v>
      </c>
      <c r="K23" s="240"/>
      <c r="L23" s="241"/>
      <c r="M23" s="198" t="s">
        <v>143</v>
      </c>
      <c r="N23" s="239">
        <f>+Y17</f>
        <v>0</v>
      </c>
      <c r="O23" s="237"/>
      <c r="P23" s="238"/>
      <c r="Q23" s="198" t="s">
        <v>122</v>
      </c>
      <c r="R23" s="239">
        <f>+P20</f>
        <v>0</v>
      </c>
      <c r="S23" s="237"/>
      <c r="T23" s="238"/>
      <c r="U23" s="180" t="s">
        <v>152</v>
      </c>
      <c r="V23" s="258">
        <f>+N23+R23+J23</f>
        <v>0</v>
      </c>
      <c r="W23" s="259"/>
      <c r="X23" s="260"/>
      <c r="AF23" s="163"/>
      <c r="AG23" s="48" t="s">
        <v>149</v>
      </c>
    </row>
    <row r="24" spans="3:44" ht="14.25" customHeight="1" x14ac:dyDescent="0.15">
      <c r="C24" s="48"/>
      <c r="D24" s="162"/>
      <c r="E24" s="48"/>
      <c r="F24" s="119"/>
      <c r="G24" s="48"/>
      <c r="H24" s="48"/>
      <c r="I24" s="65"/>
      <c r="J24" s="48"/>
      <c r="K24" s="116"/>
      <c r="L24" s="181"/>
      <c r="M24" s="181"/>
      <c r="N24" s="164"/>
      <c r="O24" s="116"/>
      <c r="P24" s="116"/>
      <c r="Q24" s="116"/>
      <c r="R24" s="180"/>
      <c r="S24" s="116"/>
      <c r="T24" s="181"/>
      <c r="U24" s="181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163"/>
      <c r="AG24" s="48"/>
    </row>
    <row r="25" spans="3:44" ht="14.25" customHeight="1" x14ac:dyDescent="0.15">
      <c r="C25" s="48"/>
      <c r="D25" s="162"/>
      <c r="E25" s="48"/>
      <c r="F25" s="119"/>
      <c r="G25" s="48"/>
      <c r="H25" s="48"/>
      <c r="I25" s="65"/>
      <c r="J25" s="48"/>
      <c r="K25" s="116"/>
      <c r="L25" s="181"/>
      <c r="M25" s="181"/>
      <c r="N25" s="164"/>
      <c r="O25" s="116"/>
      <c r="P25" s="116"/>
      <c r="Q25" s="116"/>
      <c r="R25" s="180"/>
      <c r="S25" s="116"/>
      <c r="T25" s="181"/>
      <c r="U25" s="181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163"/>
      <c r="AG25" s="48"/>
    </row>
    <row r="26" spans="3:44" ht="14.25" customHeight="1" x14ac:dyDescent="0.15">
      <c r="C26" s="48"/>
      <c r="D26" s="162"/>
      <c r="E26" s="48"/>
      <c r="F26" s="119"/>
      <c r="G26" s="48"/>
      <c r="H26" s="48"/>
      <c r="I26" s="65"/>
      <c r="J26" s="48"/>
      <c r="K26" s="116"/>
      <c r="L26" s="181"/>
      <c r="M26" s="181"/>
      <c r="N26" s="164"/>
      <c r="O26" s="116"/>
      <c r="P26" s="116"/>
      <c r="Q26" s="116"/>
      <c r="R26" s="180"/>
      <c r="S26" s="116"/>
      <c r="T26" s="181"/>
      <c r="U26" s="181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163"/>
      <c r="AG26" s="48"/>
    </row>
    <row r="27" spans="3:44" ht="14.25" customHeight="1" x14ac:dyDescent="0.15">
      <c r="C27" s="48"/>
      <c r="D27" s="162"/>
      <c r="E27" s="48"/>
      <c r="F27" s="48"/>
      <c r="G27" s="48"/>
      <c r="H27" s="48"/>
      <c r="I27" s="65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180" t="s">
        <v>151</v>
      </c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163"/>
      <c r="AG27" s="48"/>
      <c r="AJ27" s="48"/>
    </row>
    <row r="28" spans="3:44" s="110" customFormat="1" ht="17.25" customHeight="1" x14ac:dyDescent="0.15">
      <c r="C28" s="119"/>
      <c r="D28" s="169"/>
      <c r="E28" s="208" t="s">
        <v>178</v>
      </c>
      <c r="F28" s="119"/>
      <c r="G28" s="119"/>
      <c r="H28" s="119"/>
      <c r="I28" s="180"/>
      <c r="J28" s="119"/>
      <c r="K28" s="119"/>
      <c r="L28" s="119"/>
      <c r="M28" s="180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70"/>
      <c r="AG28" s="119"/>
      <c r="AJ28" s="119"/>
    </row>
    <row r="29" spans="3:44" s="110" customFormat="1" ht="14.25" customHeight="1" x14ac:dyDescent="0.15">
      <c r="C29" s="119"/>
      <c r="D29" s="169"/>
      <c r="E29" s="208"/>
      <c r="F29" s="119"/>
      <c r="G29" s="119"/>
      <c r="H29" s="119"/>
      <c r="I29" s="180"/>
      <c r="J29" s="119"/>
      <c r="K29" s="119"/>
      <c r="L29" s="119"/>
      <c r="M29" s="180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70"/>
      <c r="AG29" s="119"/>
      <c r="AJ29" s="119"/>
    </row>
    <row r="30" spans="3:44" s="110" customFormat="1" ht="14.25" customHeight="1" thickBot="1" x14ac:dyDescent="0.2">
      <c r="C30" s="119"/>
      <c r="D30" s="169"/>
      <c r="E30" s="119"/>
      <c r="F30" s="119"/>
      <c r="G30" s="180" t="s">
        <v>125</v>
      </c>
      <c r="H30" s="180"/>
      <c r="I30" s="180"/>
      <c r="J30" s="119"/>
      <c r="K30" s="180" t="s">
        <v>179</v>
      </c>
      <c r="L30" s="180"/>
      <c r="M30" s="180"/>
      <c r="N30" s="119"/>
      <c r="O30" s="180"/>
      <c r="P30" s="119"/>
      <c r="Q30" s="119"/>
      <c r="R30" s="119"/>
      <c r="S30" s="119"/>
      <c r="T30" s="180"/>
      <c r="U30" s="180" t="s">
        <v>129</v>
      </c>
      <c r="V30" s="180"/>
      <c r="W30" s="180"/>
      <c r="X30" s="119"/>
      <c r="Y30" s="119"/>
      <c r="Z30" s="119"/>
      <c r="AA30" s="180"/>
      <c r="AB30" s="180" t="s">
        <v>180</v>
      </c>
      <c r="AC30" s="180"/>
      <c r="AD30" s="119"/>
      <c r="AE30" s="119"/>
      <c r="AF30" s="170"/>
      <c r="AG30" s="119"/>
      <c r="AI30" s="176" t="s">
        <v>161</v>
      </c>
      <c r="AM30" s="188" t="s">
        <v>158</v>
      </c>
      <c r="AQ30" s="188" t="s">
        <v>157</v>
      </c>
    </row>
    <row r="31" spans="3:44" s="110" customFormat="1" ht="14.25" customHeight="1" thickTop="1" thickBot="1" x14ac:dyDescent="0.2">
      <c r="C31" s="119"/>
      <c r="D31" s="169"/>
      <c r="E31" s="171" t="s">
        <v>146</v>
      </c>
      <c r="F31" s="236">
        <f>AA10</f>
        <v>88000</v>
      </c>
      <c r="G31" s="237"/>
      <c r="H31" s="238"/>
      <c r="I31" s="180" t="s">
        <v>143</v>
      </c>
      <c r="J31" s="236">
        <f>+V23</f>
        <v>0</v>
      </c>
      <c r="K31" s="237"/>
      <c r="L31" s="238"/>
      <c r="M31" s="172" t="s">
        <v>153</v>
      </c>
      <c r="N31" s="292" t="str">
        <f>+Sheet1!E3</f>
        <v>５０万円〕  ×  １／２</v>
      </c>
      <c r="O31" s="293"/>
      <c r="P31" s="293"/>
      <c r="Q31" s="293"/>
      <c r="R31" s="293"/>
      <c r="S31" s="180" t="s">
        <v>154</v>
      </c>
      <c r="T31" s="236">
        <f>ROUNDDOWN(AH31,2)</f>
        <v>-206000</v>
      </c>
      <c r="U31" s="237"/>
      <c r="V31" s="238"/>
      <c r="W31" s="119"/>
      <c r="X31" s="119"/>
      <c r="Y31" s="119"/>
      <c r="Z31" s="119"/>
      <c r="AA31" s="258">
        <f>ROUNDDOWN(AP31,2)</f>
        <v>0</v>
      </c>
      <c r="AB31" s="259"/>
      <c r="AC31" s="260"/>
      <c r="AD31" s="119"/>
      <c r="AE31" s="119"/>
      <c r="AF31" s="170"/>
      <c r="AG31" s="119"/>
      <c r="AH31" s="300">
        <f>+(F31+J31-Sheet1!B3)/2</f>
        <v>-206000</v>
      </c>
      <c r="AI31" s="301"/>
      <c r="AJ31" s="302"/>
      <c r="AL31" s="297">
        <f>IF(T31&lt;=J31,T31,J31)</f>
        <v>-206000</v>
      </c>
      <c r="AM31" s="298"/>
      <c r="AN31" s="299"/>
      <c r="AP31" s="297">
        <f>IF(AL31&lt;0,0,AL31)</f>
        <v>0</v>
      </c>
      <c r="AQ31" s="298"/>
      <c r="AR31" s="299"/>
    </row>
    <row r="32" spans="3:44" s="110" customFormat="1" ht="14.25" customHeight="1" x14ac:dyDescent="0.15">
      <c r="C32" s="119"/>
      <c r="D32" s="169"/>
      <c r="E32" s="171"/>
      <c r="F32" s="113"/>
      <c r="G32" s="178"/>
      <c r="H32" s="178"/>
      <c r="I32" s="180"/>
      <c r="J32" s="113"/>
      <c r="K32" s="178"/>
      <c r="L32" s="178"/>
      <c r="M32" s="172"/>
      <c r="N32" s="180"/>
      <c r="O32" s="5"/>
      <c r="P32" s="5"/>
      <c r="Q32" s="172"/>
      <c r="R32" s="172"/>
      <c r="S32" s="180"/>
      <c r="T32" s="113"/>
      <c r="U32" s="178"/>
      <c r="V32" s="178"/>
      <c r="W32" s="119"/>
      <c r="X32" s="119"/>
      <c r="Y32" s="119"/>
      <c r="Z32" s="182" t="str">
        <f>IF(T31&lt;=J31,"","注）共済年金の全額停止")</f>
        <v/>
      </c>
      <c r="AB32" s="119"/>
      <c r="AC32" s="119"/>
      <c r="AD32" s="119"/>
      <c r="AE32" s="119"/>
      <c r="AF32" s="170"/>
      <c r="AG32" s="119"/>
      <c r="AH32" s="119"/>
    </row>
    <row r="33" spans="3:48" s="110" customFormat="1" ht="14.25" customHeight="1" x14ac:dyDescent="0.15">
      <c r="C33" s="119"/>
      <c r="D33" s="169"/>
      <c r="E33" s="171"/>
      <c r="F33" s="113"/>
      <c r="G33" s="178"/>
      <c r="H33" s="178"/>
      <c r="I33" s="180"/>
      <c r="J33" s="113"/>
      <c r="K33" s="178"/>
      <c r="L33" s="178"/>
      <c r="M33" s="172"/>
      <c r="N33" s="180"/>
      <c r="O33" s="5"/>
      <c r="P33" s="5"/>
      <c r="Q33" s="172"/>
      <c r="R33" s="172"/>
      <c r="S33" s="180"/>
      <c r="T33" s="113"/>
      <c r="U33" s="178"/>
      <c r="V33" s="178"/>
      <c r="W33" s="119"/>
      <c r="X33" s="119"/>
      <c r="Y33" s="119"/>
      <c r="Z33" s="182"/>
      <c r="AB33" s="119"/>
      <c r="AC33" s="119"/>
      <c r="AD33" s="119"/>
      <c r="AE33" s="119"/>
      <c r="AF33" s="170"/>
      <c r="AG33" s="119"/>
      <c r="AH33" s="119"/>
    </row>
    <row r="34" spans="3:48" s="110" customFormat="1" ht="14.25" customHeight="1" x14ac:dyDescent="0.15">
      <c r="C34" s="119"/>
      <c r="D34" s="169"/>
      <c r="E34" s="171"/>
      <c r="F34" s="113"/>
      <c r="G34" s="178"/>
      <c r="H34" s="178"/>
      <c r="I34" s="180"/>
      <c r="J34" s="113"/>
      <c r="K34" s="178"/>
      <c r="L34" s="178"/>
      <c r="M34" s="172"/>
      <c r="N34" s="180"/>
      <c r="O34" s="5"/>
      <c r="P34" s="5"/>
      <c r="Q34" s="172"/>
      <c r="R34" s="172"/>
      <c r="S34" s="180"/>
      <c r="T34" s="113"/>
      <c r="U34" s="178"/>
      <c r="V34" s="178"/>
      <c r="W34" s="119"/>
      <c r="X34" s="119"/>
      <c r="Y34" s="119"/>
      <c r="Z34" s="182"/>
      <c r="AB34" s="119"/>
      <c r="AC34" s="119"/>
      <c r="AD34" s="119"/>
      <c r="AE34" s="119"/>
      <c r="AF34" s="170"/>
      <c r="AG34" s="119"/>
      <c r="AH34" s="119"/>
    </row>
    <row r="35" spans="3:48" s="110" customFormat="1" ht="14.25" customHeight="1" x14ac:dyDescent="0.15">
      <c r="C35" s="119"/>
      <c r="D35" s="169"/>
      <c r="E35" s="171"/>
      <c r="F35" s="113"/>
      <c r="G35" s="178"/>
      <c r="H35" s="178"/>
      <c r="I35" s="180"/>
      <c r="J35" s="113"/>
      <c r="K35" s="178"/>
      <c r="L35" s="178"/>
      <c r="M35" s="172"/>
      <c r="N35" s="180"/>
      <c r="O35" s="5"/>
      <c r="P35" s="5"/>
      <c r="Q35" s="172"/>
      <c r="R35" s="172"/>
      <c r="S35" s="180"/>
      <c r="T35" s="113"/>
      <c r="U35" s="178"/>
      <c r="V35" s="178"/>
      <c r="W35" s="119"/>
      <c r="X35" s="119"/>
      <c r="Y35" s="119"/>
      <c r="Z35" s="182"/>
      <c r="AB35" s="119"/>
      <c r="AC35" s="119"/>
      <c r="AD35" s="119"/>
      <c r="AE35" s="119"/>
      <c r="AF35" s="170"/>
      <c r="AG35" s="119"/>
      <c r="AH35" s="119"/>
    </row>
    <row r="36" spans="3:48" s="110" customFormat="1" ht="17.25" customHeight="1" x14ac:dyDescent="0.15">
      <c r="C36" s="119"/>
      <c r="D36" s="169"/>
      <c r="E36" s="208" t="s">
        <v>198</v>
      </c>
      <c r="F36" s="113"/>
      <c r="G36" s="178"/>
      <c r="H36" s="178"/>
      <c r="I36" s="180"/>
      <c r="J36" s="113"/>
      <c r="K36" s="178"/>
      <c r="L36" s="178"/>
      <c r="M36" s="172"/>
      <c r="N36" s="180"/>
      <c r="O36" s="5"/>
      <c r="P36" s="5"/>
      <c r="Q36" s="172"/>
      <c r="R36" s="172"/>
      <c r="S36" s="180"/>
      <c r="T36" s="113"/>
      <c r="U36" s="178"/>
      <c r="V36" s="178"/>
      <c r="W36" s="119"/>
      <c r="X36" s="119"/>
      <c r="Y36" s="119"/>
      <c r="Z36" s="182"/>
      <c r="AB36" s="119"/>
      <c r="AC36" s="119"/>
      <c r="AD36" s="119"/>
      <c r="AE36" s="119"/>
      <c r="AF36" s="170"/>
      <c r="AG36" s="119"/>
      <c r="AH36" s="119"/>
    </row>
    <row r="37" spans="3:48" s="110" customFormat="1" ht="14.25" customHeight="1" x14ac:dyDescent="0.15">
      <c r="C37" s="119"/>
      <c r="D37" s="169"/>
      <c r="E37" s="208"/>
      <c r="F37" s="113"/>
      <c r="G37" s="178"/>
      <c r="H37" s="178"/>
      <c r="I37" s="180"/>
      <c r="J37" s="113"/>
      <c r="K37" s="178"/>
      <c r="L37" s="178"/>
      <c r="M37" s="172"/>
      <c r="N37" s="180"/>
      <c r="O37" s="5"/>
      <c r="P37" s="5"/>
      <c r="Q37" s="172"/>
      <c r="R37" s="172"/>
      <c r="S37" s="180"/>
      <c r="T37" s="113"/>
      <c r="U37" s="178"/>
      <c r="V37" s="178"/>
      <c r="W37" s="119"/>
      <c r="X37" s="119"/>
      <c r="Y37" s="119"/>
      <c r="Z37" s="182"/>
      <c r="AB37" s="119"/>
      <c r="AC37" s="119"/>
      <c r="AD37" s="119"/>
      <c r="AE37" s="119"/>
      <c r="AF37" s="170"/>
      <c r="AG37" s="119"/>
      <c r="AH37" s="119"/>
    </row>
    <row r="38" spans="3:48" s="110" customFormat="1" ht="14.25" customHeight="1" thickBot="1" x14ac:dyDescent="0.2">
      <c r="C38" s="119"/>
      <c r="D38" s="169"/>
      <c r="E38" s="171"/>
      <c r="F38" s="119"/>
      <c r="G38" s="178"/>
      <c r="H38" s="178"/>
      <c r="I38" s="180"/>
      <c r="J38" s="113"/>
      <c r="K38" s="178"/>
      <c r="L38" s="180"/>
      <c r="M38" s="180" t="s">
        <v>180</v>
      </c>
      <c r="N38" s="180"/>
      <c r="O38" s="5"/>
      <c r="P38" s="5"/>
      <c r="Q38" s="196" t="s">
        <v>194</v>
      </c>
      <c r="R38" s="172"/>
      <c r="S38" s="180"/>
      <c r="T38" s="113"/>
      <c r="U38" s="180" t="s">
        <v>179</v>
      </c>
      <c r="V38" s="178"/>
      <c r="W38" s="180"/>
      <c r="X38" s="180"/>
      <c r="Y38" s="180" t="s">
        <v>132</v>
      </c>
      <c r="Z38" s="180"/>
      <c r="AA38" s="119"/>
      <c r="AB38" s="119"/>
      <c r="AC38" s="119"/>
      <c r="AD38" s="119"/>
      <c r="AE38" s="119"/>
      <c r="AF38" s="170"/>
      <c r="AG38" s="119"/>
      <c r="AH38" s="110" t="s">
        <v>126</v>
      </c>
    </row>
    <row r="39" spans="3:48" s="110" customFormat="1" ht="14.25" customHeight="1" thickTop="1" thickBot="1" x14ac:dyDescent="0.2">
      <c r="C39" s="119"/>
      <c r="D39" s="169"/>
      <c r="E39" s="171"/>
      <c r="F39" s="209" t="s">
        <v>190</v>
      </c>
      <c r="G39" s="119"/>
      <c r="H39" s="178"/>
      <c r="I39" s="180"/>
      <c r="J39" s="119"/>
      <c r="L39" s="236">
        <f>+AA31</f>
        <v>0</v>
      </c>
      <c r="M39" s="237"/>
      <c r="N39" s="238"/>
      <c r="O39" s="173" t="s">
        <v>155</v>
      </c>
      <c r="P39" s="236">
        <f>+Y17</f>
        <v>0</v>
      </c>
      <c r="Q39" s="237"/>
      <c r="R39" s="238"/>
      <c r="S39" s="173" t="s">
        <v>156</v>
      </c>
      <c r="T39" s="236">
        <f>+V23</f>
        <v>0</v>
      </c>
      <c r="U39" s="237"/>
      <c r="V39" s="238"/>
      <c r="W39" s="164" t="s">
        <v>154</v>
      </c>
      <c r="X39" s="258" t="e">
        <f>L39*P39/T39</f>
        <v>#DIV/0!</v>
      </c>
      <c r="Y39" s="259"/>
      <c r="Z39" s="260"/>
      <c r="AA39" s="119"/>
      <c r="AB39" s="119"/>
      <c r="AC39" s="119"/>
      <c r="AD39" s="119"/>
      <c r="AE39" s="119"/>
      <c r="AF39" s="170"/>
      <c r="AG39" s="119"/>
      <c r="AH39" s="294">
        <f>+AA31</f>
        <v>0</v>
      </c>
      <c r="AI39" s="295"/>
      <c r="AJ39" s="296"/>
      <c r="AK39" s="117" t="s">
        <v>155</v>
      </c>
      <c r="AL39" s="294">
        <f>+J23</f>
        <v>0</v>
      </c>
      <c r="AM39" s="295"/>
      <c r="AN39" s="296"/>
      <c r="AO39" s="117" t="s">
        <v>131</v>
      </c>
      <c r="AP39" s="294">
        <f>+T39</f>
        <v>0</v>
      </c>
      <c r="AQ39" s="295"/>
      <c r="AR39" s="296"/>
      <c r="AS39" s="115" t="s">
        <v>123</v>
      </c>
      <c r="AT39" s="294" t="e">
        <f>+AH39*AL39/AP39</f>
        <v>#DIV/0!</v>
      </c>
      <c r="AU39" s="295"/>
      <c r="AV39" s="296"/>
    </row>
    <row r="40" spans="3:48" s="110" customFormat="1" ht="14.25" customHeight="1" x14ac:dyDescent="0.15">
      <c r="C40" s="119"/>
      <c r="D40" s="169"/>
      <c r="E40" s="171"/>
      <c r="F40" s="113"/>
      <c r="G40" s="178"/>
      <c r="H40" s="178"/>
      <c r="I40" s="180"/>
      <c r="J40" s="113"/>
      <c r="K40" s="178"/>
      <c r="L40" s="178"/>
      <c r="M40" s="172"/>
      <c r="N40" s="180"/>
      <c r="O40" s="5"/>
      <c r="P40" s="5"/>
      <c r="Q40" s="172"/>
      <c r="R40" s="172"/>
      <c r="S40" s="180"/>
      <c r="T40" s="113"/>
      <c r="U40" s="178"/>
      <c r="V40" s="178"/>
      <c r="W40" s="119"/>
      <c r="X40" s="119"/>
      <c r="Y40" s="119"/>
      <c r="Z40" s="182"/>
      <c r="AB40" s="119"/>
      <c r="AC40" s="119"/>
      <c r="AD40" s="119"/>
      <c r="AE40" s="119"/>
      <c r="AF40" s="170"/>
      <c r="AG40" s="119"/>
      <c r="AH40" s="119"/>
    </row>
    <row r="41" spans="3:48" s="110" customFormat="1" ht="14.25" customHeight="1" x14ac:dyDescent="0.15">
      <c r="C41" s="119"/>
      <c r="D41" s="169"/>
      <c r="E41" s="171"/>
      <c r="F41" s="113"/>
      <c r="G41" s="178"/>
      <c r="H41" s="178"/>
      <c r="I41" s="180"/>
      <c r="J41" s="113"/>
      <c r="K41" s="178"/>
      <c r="L41" s="178"/>
      <c r="M41" s="172"/>
      <c r="N41" s="180"/>
      <c r="O41" s="5"/>
      <c r="P41" s="5"/>
      <c r="Q41" s="172"/>
      <c r="R41" s="172"/>
      <c r="S41" s="180"/>
      <c r="T41" s="113"/>
      <c r="U41" s="178"/>
      <c r="V41" s="178"/>
      <c r="W41" s="119"/>
      <c r="X41" s="119"/>
      <c r="Y41" s="119"/>
      <c r="Z41" s="182"/>
      <c r="AB41" s="119"/>
      <c r="AC41" s="119"/>
      <c r="AD41" s="119"/>
      <c r="AE41" s="119"/>
      <c r="AF41" s="170"/>
      <c r="AG41" s="119"/>
      <c r="AH41" s="119"/>
    </row>
    <row r="42" spans="3:48" s="110" customFormat="1" ht="14.25" customHeight="1" x14ac:dyDescent="0.15">
      <c r="C42" s="119"/>
      <c r="D42" s="169"/>
      <c r="E42" s="171"/>
      <c r="F42" s="113"/>
      <c r="G42" s="178"/>
      <c r="H42" s="178"/>
      <c r="I42" s="180"/>
      <c r="J42" s="113"/>
      <c r="K42" s="178"/>
      <c r="L42" s="178"/>
      <c r="M42" s="172"/>
      <c r="N42" s="180"/>
      <c r="O42" s="5"/>
      <c r="P42" s="5"/>
      <c r="Q42" s="172"/>
      <c r="R42" s="172"/>
      <c r="S42" s="180"/>
      <c r="T42" s="113"/>
      <c r="U42" s="178"/>
      <c r="V42" s="178"/>
      <c r="W42" s="119"/>
      <c r="X42" s="119"/>
      <c r="Y42" s="119"/>
      <c r="Z42" s="182"/>
      <c r="AB42" s="119"/>
      <c r="AC42" s="119"/>
      <c r="AD42" s="119"/>
      <c r="AE42" s="119"/>
      <c r="AF42" s="170"/>
      <c r="AG42" s="119"/>
      <c r="AH42" s="119"/>
    </row>
    <row r="43" spans="3:48" s="110" customFormat="1" ht="14.25" customHeight="1" x14ac:dyDescent="0.15">
      <c r="C43" s="119"/>
      <c r="D43" s="169"/>
      <c r="E43" s="171"/>
      <c r="F43" s="113"/>
      <c r="G43" s="178"/>
      <c r="H43" s="178"/>
      <c r="I43" s="180"/>
      <c r="J43" s="113"/>
      <c r="K43" s="178"/>
      <c r="L43" s="178"/>
      <c r="M43" s="172"/>
      <c r="N43" s="180"/>
      <c r="O43" s="5"/>
      <c r="P43" s="5"/>
      <c r="Q43" s="172"/>
      <c r="R43" s="172"/>
      <c r="S43" s="180"/>
      <c r="T43" s="113"/>
      <c r="U43" s="178"/>
      <c r="V43" s="178"/>
      <c r="W43" s="119"/>
      <c r="X43" s="119"/>
      <c r="Y43" s="119"/>
      <c r="Z43" s="182"/>
      <c r="AB43" s="119"/>
      <c r="AC43" s="119"/>
      <c r="AD43" s="119"/>
      <c r="AE43" s="119"/>
      <c r="AF43" s="170"/>
      <c r="AG43" s="119"/>
      <c r="AH43" s="119"/>
    </row>
    <row r="44" spans="3:48" s="110" customFormat="1" ht="17.25" customHeight="1" x14ac:dyDescent="0.15">
      <c r="C44" s="119"/>
      <c r="D44" s="169"/>
      <c r="E44" s="202" t="s">
        <v>176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182"/>
      <c r="AB44" s="119"/>
      <c r="AC44" s="119"/>
      <c r="AD44" s="119"/>
      <c r="AE44" s="119"/>
      <c r="AF44" s="170"/>
      <c r="AG44" s="119"/>
      <c r="AH44" s="119"/>
    </row>
    <row r="45" spans="3:48" s="110" customFormat="1" ht="14.25" customHeight="1" x14ac:dyDescent="0.15">
      <c r="C45" s="119"/>
      <c r="D45" s="169"/>
      <c r="E45" s="20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182"/>
      <c r="AB45" s="119"/>
      <c r="AC45" s="119"/>
      <c r="AD45" s="119"/>
      <c r="AE45" s="119"/>
      <c r="AF45" s="170"/>
      <c r="AG45" s="119"/>
      <c r="AH45" s="119"/>
    </row>
    <row r="46" spans="3:48" s="110" customFormat="1" ht="14.25" customHeight="1" thickBot="1" x14ac:dyDescent="0.2">
      <c r="C46" s="119"/>
      <c r="D46" s="169"/>
      <c r="E46" s="33"/>
      <c r="F46" s="110" t="s">
        <v>63</v>
      </c>
      <c r="G46" s="33"/>
      <c r="H46" s="33"/>
      <c r="I46" s="33"/>
      <c r="J46" s="33"/>
      <c r="K46" s="33"/>
      <c r="L46" s="115"/>
      <c r="M46" s="118" t="s">
        <v>132</v>
      </c>
      <c r="N46" s="115"/>
      <c r="O46" s="33"/>
      <c r="P46" s="5"/>
      <c r="Q46" s="33"/>
      <c r="S46" s="118"/>
      <c r="T46" s="118"/>
      <c r="U46" s="118" t="s">
        <v>133</v>
      </c>
      <c r="V46" s="5"/>
      <c r="X46" s="204"/>
      <c r="Z46" s="182"/>
      <c r="AD46" s="119"/>
      <c r="AE46" s="119"/>
      <c r="AF46" s="170"/>
      <c r="AG46" s="119"/>
      <c r="AH46" s="119"/>
    </row>
    <row r="47" spans="3:48" s="110" customFormat="1" ht="14.25" customHeight="1" thickBot="1" x14ac:dyDescent="0.2">
      <c r="C47" s="119"/>
      <c r="D47" s="169"/>
      <c r="E47" s="33"/>
      <c r="F47" s="110" t="s">
        <v>191</v>
      </c>
      <c r="G47" s="33"/>
      <c r="H47" s="33"/>
      <c r="I47" s="33"/>
      <c r="J47" s="33"/>
      <c r="K47" s="33"/>
      <c r="L47" s="281" t="e">
        <f>X39</f>
        <v>#DIV/0!</v>
      </c>
      <c r="M47" s="282"/>
      <c r="N47" s="283"/>
      <c r="O47" s="284" t="s">
        <v>255</v>
      </c>
      <c r="P47" s="285"/>
      <c r="Q47" s="285"/>
      <c r="R47" s="248" t="s">
        <v>123</v>
      </c>
      <c r="S47" s="248"/>
      <c r="T47" s="305" t="e">
        <f>ROUNDDOWN(L47*12,)</f>
        <v>#DIV/0!</v>
      </c>
      <c r="U47" s="306"/>
      <c r="V47" s="307"/>
      <c r="W47" s="181"/>
      <c r="X47" s="181"/>
      <c r="Z47" s="182"/>
      <c r="AD47" s="119"/>
      <c r="AE47" s="119"/>
      <c r="AF47" s="170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</row>
    <row r="48" spans="3:48" s="110" customFormat="1" ht="14.25" customHeight="1" x14ac:dyDescent="0.15">
      <c r="C48" s="119"/>
      <c r="D48" s="169"/>
      <c r="E48" s="33"/>
      <c r="F48" s="33"/>
      <c r="G48" s="33"/>
      <c r="H48" s="33"/>
      <c r="I48" s="33"/>
      <c r="J48" s="33"/>
      <c r="K48" s="33"/>
      <c r="L48" s="33"/>
      <c r="M48" s="116"/>
      <c r="N48" s="181"/>
      <c r="O48" s="181"/>
      <c r="P48" s="200"/>
      <c r="Q48" s="178"/>
      <c r="U48" s="181"/>
      <c r="V48" s="178"/>
      <c r="W48" s="205"/>
      <c r="X48" s="33"/>
      <c r="Z48" s="182"/>
      <c r="AD48" s="119"/>
      <c r="AE48" s="119"/>
      <c r="AF48" s="170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</row>
    <row r="49" spans="3:47" s="110" customFormat="1" ht="14.25" customHeight="1" x14ac:dyDescent="0.15">
      <c r="C49" s="119"/>
      <c r="D49" s="169"/>
      <c r="E49" s="33"/>
      <c r="F49" s="33"/>
      <c r="G49" s="33"/>
      <c r="H49" s="33"/>
      <c r="I49" s="33"/>
      <c r="J49" s="33"/>
      <c r="K49" s="33"/>
      <c r="L49" s="33"/>
      <c r="M49" s="116"/>
      <c r="N49" s="181"/>
      <c r="O49" s="181"/>
      <c r="P49" s="200"/>
      <c r="Q49" s="178"/>
      <c r="R49" s="178"/>
      <c r="S49" s="205"/>
      <c r="T49" s="33"/>
      <c r="U49" s="181"/>
      <c r="V49" s="33"/>
      <c r="W49" s="33"/>
      <c r="X49" s="33"/>
      <c r="Y49" s="33"/>
      <c r="Z49" s="182"/>
      <c r="AB49" s="119"/>
      <c r="AC49" s="119"/>
      <c r="AD49" s="119"/>
      <c r="AE49" s="119"/>
      <c r="AF49" s="170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</row>
    <row r="50" spans="3:47" s="110" customFormat="1" ht="14.25" customHeight="1" thickBot="1" x14ac:dyDescent="0.2">
      <c r="C50" s="119"/>
      <c r="D50" s="169"/>
      <c r="E50" s="33"/>
      <c r="F50" s="110" t="s">
        <v>63</v>
      </c>
      <c r="G50" s="33"/>
      <c r="H50" s="33"/>
      <c r="I50" s="33"/>
      <c r="J50" s="33"/>
      <c r="K50" s="33"/>
      <c r="L50" s="115"/>
      <c r="M50" s="118" t="s">
        <v>15</v>
      </c>
      <c r="N50" s="115"/>
      <c r="O50" s="33"/>
      <c r="P50" s="33"/>
      <c r="R50" s="118" t="s">
        <v>133</v>
      </c>
      <c r="S50" s="118"/>
      <c r="T50" s="33"/>
      <c r="U50" s="33"/>
      <c r="V50" s="118"/>
      <c r="W50" s="118"/>
      <c r="X50" s="118"/>
      <c r="Y50" s="33"/>
      <c r="Z50" s="182"/>
      <c r="AB50" s="119"/>
      <c r="AC50" s="119"/>
      <c r="AD50" s="119"/>
      <c r="AE50" s="119"/>
      <c r="AF50" s="170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</row>
    <row r="51" spans="3:47" s="110" customFormat="1" ht="14.25" customHeight="1" thickTop="1" thickBot="1" x14ac:dyDescent="0.2">
      <c r="C51" s="119"/>
      <c r="D51" s="169"/>
      <c r="E51" s="33"/>
      <c r="F51" s="110" t="s">
        <v>192</v>
      </c>
      <c r="G51" s="33"/>
      <c r="H51" s="33"/>
      <c r="I51" s="33"/>
      <c r="J51" s="33"/>
      <c r="K51" s="33"/>
      <c r="L51" s="245">
        <f>J17-N17-R17</f>
        <v>0</v>
      </c>
      <c r="M51" s="282"/>
      <c r="N51" s="283"/>
      <c r="O51" s="279" t="s">
        <v>168</v>
      </c>
      <c r="P51" s="286"/>
      <c r="Q51" s="245" t="e">
        <f>+T47</f>
        <v>#DIV/0!</v>
      </c>
      <c r="R51" s="246"/>
      <c r="S51" s="247"/>
      <c r="T51" s="279" t="s">
        <v>169</v>
      </c>
      <c r="U51" s="280"/>
      <c r="V51" s="304" t="e">
        <f>ROUNDDOWN(L51-Q51,)</f>
        <v>#DIV/0!</v>
      </c>
      <c r="W51" s="250"/>
      <c r="X51" s="251"/>
      <c r="Y51" s="33" t="s">
        <v>248</v>
      </c>
      <c r="Z51" s="182"/>
      <c r="AB51" s="119"/>
      <c r="AC51" s="119"/>
      <c r="AD51" s="119"/>
      <c r="AE51" s="119"/>
      <c r="AF51" s="170"/>
      <c r="AG51" s="119"/>
      <c r="AH51" s="119"/>
      <c r="AI51" s="303"/>
      <c r="AJ51" s="277"/>
      <c r="AK51" s="277"/>
      <c r="AL51" s="248"/>
      <c r="AM51" s="244"/>
      <c r="AN51" s="303"/>
      <c r="AO51" s="303"/>
      <c r="AP51" s="303"/>
      <c r="AQ51" s="248"/>
      <c r="AR51" s="244"/>
      <c r="AS51" s="290"/>
      <c r="AT51" s="277"/>
      <c r="AU51" s="277"/>
    </row>
    <row r="52" spans="3:47" s="110" customFormat="1" ht="14.25" customHeight="1" x14ac:dyDescent="0.15">
      <c r="C52" s="119"/>
      <c r="D52" s="169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182"/>
      <c r="AB52" s="119"/>
      <c r="AC52" s="119"/>
      <c r="AD52" s="119"/>
      <c r="AE52" s="119"/>
      <c r="AF52" s="170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3:47" s="110" customFormat="1" ht="14.25" customHeight="1" thickBot="1" x14ac:dyDescent="0.2">
      <c r="C53" s="119"/>
      <c r="D53" s="169"/>
      <c r="E53" s="33"/>
      <c r="F53" s="110" t="s">
        <v>250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48"/>
      <c r="W53" s="180"/>
      <c r="X53" s="48"/>
      <c r="Y53" s="33"/>
      <c r="Z53" s="182"/>
      <c r="AA53" s="33"/>
      <c r="AB53" s="118" t="s">
        <v>167</v>
      </c>
      <c r="AC53" s="33"/>
      <c r="AD53" s="119"/>
      <c r="AE53" s="119"/>
      <c r="AF53" s="170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3:47" s="110" customFormat="1" ht="14.25" customHeight="1" thickTop="1" thickBot="1" x14ac:dyDescent="0.2">
      <c r="C54" s="119"/>
      <c r="D54" s="169"/>
      <c r="E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290"/>
      <c r="W54" s="277"/>
      <c r="X54" s="277"/>
      <c r="Y54" s="33"/>
      <c r="Z54" s="182"/>
      <c r="AA54" s="304" t="e">
        <f>IF(V51&lt;=0,N17,"")</f>
        <v>#DIV/0!</v>
      </c>
      <c r="AB54" s="250"/>
      <c r="AC54" s="251"/>
      <c r="AD54" s="119"/>
      <c r="AE54" s="119"/>
      <c r="AF54" s="170"/>
      <c r="AG54" s="119"/>
      <c r="AH54" s="119"/>
    </row>
    <row r="55" spans="3:47" s="110" customFormat="1" ht="14.25" customHeight="1" thickTop="1" x14ac:dyDescent="0.15">
      <c r="C55" s="119"/>
      <c r="D55" s="169"/>
      <c r="E55" s="33"/>
      <c r="F55" s="110" t="s">
        <v>249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182"/>
      <c r="AB55" s="119"/>
      <c r="AC55" s="119"/>
      <c r="AD55" s="119"/>
      <c r="AE55" s="119"/>
      <c r="AF55" s="170"/>
      <c r="AG55" s="119"/>
      <c r="AH55" s="119"/>
    </row>
    <row r="56" spans="3:47" s="110" customFormat="1" ht="14.25" customHeight="1" thickBot="1" x14ac:dyDescent="0.2">
      <c r="C56" s="119"/>
      <c r="D56" s="169"/>
      <c r="E56" s="33"/>
      <c r="F56" s="33"/>
      <c r="G56" s="33"/>
      <c r="H56" s="33"/>
      <c r="I56" s="33"/>
      <c r="J56" s="33"/>
      <c r="K56" s="33"/>
      <c r="L56" s="115"/>
      <c r="M56" s="118" t="s">
        <v>127</v>
      </c>
      <c r="N56" s="115"/>
      <c r="O56" s="33"/>
      <c r="P56" s="33"/>
      <c r="R56" s="118" t="s">
        <v>133</v>
      </c>
      <c r="S56" s="118"/>
      <c r="T56" s="33"/>
      <c r="U56" s="33"/>
      <c r="V56" s="118"/>
      <c r="W56" s="118" t="s">
        <v>181</v>
      </c>
      <c r="X56" s="118"/>
      <c r="Y56" s="33"/>
      <c r="Z56" s="182"/>
      <c r="AA56" s="118"/>
      <c r="AB56" s="118" t="s">
        <v>167</v>
      </c>
      <c r="AC56" s="118"/>
      <c r="AD56" s="119"/>
      <c r="AE56" s="119"/>
      <c r="AF56" s="170"/>
      <c r="AG56" s="119"/>
      <c r="AH56" s="119"/>
    </row>
    <row r="57" spans="3:47" s="110" customFormat="1" ht="14.25" customHeight="1" thickTop="1" thickBot="1" x14ac:dyDescent="0.2">
      <c r="C57" s="119"/>
      <c r="D57" s="169"/>
      <c r="E57" s="33"/>
      <c r="F57" s="33"/>
      <c r="G57" s="33"/>
      <c r="H57" s="33"/>
      <c r="I57" s="33"/>
      <c r="J57" s="33"/>
      <c r="K57" s="33"/>
      <c r="L57" s="245" t="e">
        <f>IF($V$51&gt;=1,J17,"")</f>
        <v>#DIV/0!</v>
      </c>
      <c r="M57" s="282"/>
      <c r="N57" s="283"/>
      <c r="O57" s="279" t="s">
        <v>85</v>
      </c>
      <c r="P57" s="286"/>
      <c r="Q57" s="287" t="e">
        <f>IF($V$51&gt;=1,T47,"")</f>
        <v>#DIV/0!</v>
      </c>
      <c r="R57" s="288"/>
      <c r="S57" s="289"/>
      <c r="T57" s="279" t="s">
        <v>85</v>
      </c>
      <c r="U57" s="286"/>
      <c r="V57" s="308" t="e">
        <f>IF($V$51&gt;=1,IF(入力シート!C19=1,R17,0),"")</f>
        <v>#DIV/0!</v>
      </c>
      <c r="W57" s="309"/>
      <c r="X57" s="310"/>
      <c r="Y57" s="248" t="s">
        <v>123</v>
      </c>
      <c r="Z57" s="248"/>
      <c r="AA57" s="308" t="str">
        <f>IFERROR(L57-Q57-V57,"")</f>
        <v/>
      </c>
      <c r="AB57" s="309"/>
      <c r="AC57" s="310"/>
      <c r="AD57" s="119"/>
      <c r="AE57" s="119"/>
      <c r="AF57" s="170"/>
      <c r="AG57" s="119"/>
      <c r="AH57" s="119"/>
    </row>
    <row r="58" spans="3:47" s="110" customFormat="1" ht="14.25" customHeight="1" x14ac:dyDescent="0.15">
      <c r="C58" s="119"/>
      <c r="D58" s="169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182"/>
      <c r="AB58" s="119"/>
      <c r="AC58" s="119"/>
      <c r="AD58" s="119"/>
      <c r="AE58" s="119"/>
      <c r="AF58" s="170"/>
      <c r="AG58" s="119"/>
      <c r="AH58" s="119"/>
    </row>
    <row r="59" spans="3:47" s="110" customFormat="1" ht="14.25" customHeight="1" x14ac:dyDescent="0.15">
      <c r="C59" s="119"/>
      <c r="D59" s="169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182"/>
      <c r="AB59" s="119"/>
      <c r="AC59" s="119"/>
      <c r="AD59" s="119"/>
      <c r="AE59" s="119"/>
      <c r="AF59" s="170"/>
      <c r="AG59" s="119"/>
      <c r="AH59" s="119"/>
    </row>
    <row r="60" spans="3:47" s="110" customFormat="1" ht="17.25" customHeight="1" x14ac:dyDescent="0.15">
      <c r="C60" s="119"/>
      <c r="D60" s="169"/>
      <c r="E60" s="212" t="s">
        <v>170</v>
      </c>
      <c r="F60" s="33"/>
      <c r="G60" s="33"/>
      <c r="H60" s="33"/>
      <c r="I60" s="33"/>
      <c r="J60" s="33"/>
      <c r="K60" s="33"/>
      <c r="L60" s="33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182"/>
      <c r="AB60" s="119"/>
      <c r="AC60" s="119"/>
      <c r="AD60" s="119"/>
      <c r="AE60" s="119"/>
      <c r="AF60" s="170"/>
      <c r="AG60" s="119"/>
      <c r="AH60" s="119"/>
    </row>
    <row r="61" spans="3:47" s="110" customFormat="1" ht="14.25" customHeight="1" thickBot="1" x14ac:dyDescent="0.2">
      <c r="C61" s="119"/>
      <c r="D61" s="169"/>
      <c r="E61" s="33"/>
      <c r="F61" s="242" t="s">
        <v>171</v>
      </c>
      <c r="G61" s="243"/>
      <c r="H61" s="243"/>
      <c r="I61" s="244"/>
      <c r="J61" s="33"/>
      <c r="K61" s="33"/>
      <c r="L61" s="118"/>
      <c r="M61" s="118" t="s">
        <v>196</v>
      </c>
      <c r="N61" s="118"/>
      <c r="O61" s="33"/>
      <c r="P61" s="33"/>
      <c r="Q61" s="207"/>
      <c r="R61" s="118" t="s">
        <v>174</v>
      </c>
      <c r="S61" s="206"/>
      <c r="T61" s="33"/>
      <c r="U61" s="33"/>
      <c r="V61" s="118"/>
      <c r="W61" s="118" t="s">
        <v>172</v>
      </c>
      <c r="X61" s="118"/>
      <c r="Y61" s="33"/>
      <c r="AB61" s="119"/>
      <c r="AC61" s="119"/>
      <c r="AD61" s="119"/>
      <c r="AE61" s="119"/>
      <c r="AF61" s="170"/>
      <c r="AG61" s="119"/>
    </row>
    <row r="62" spans="3:47" s="110" customFormat="1" ht="14.25" customHeight="1" thickTop="1" thickBot="1" x14ac:dyDescent="0.2">
      <c r="C62" s="119"/>
      <c r="D62" s="169"/>
      <c r="E62" s="33"/>
      <c r="F62" s="243"/>
      <c r="G62" s="243"/>
      <c r="H62" s="243"/>
      <c r="I62" s="244"/>
      <c r="J62" s="33"/>
      <c r="K62" s="33"/>
      <c r="L62" s="245" t="e">
        <f>IF($V$51&gt;=1,AA57,AA54)</f>
        <v>#DIV/0!</v>
      </c>
      <c r="M62" s="282"/>
      <c r="N62" s="283"/>
      <c r="O62" s="248" t="s">
        <v>173</v>
      </c>
      <c r="P62" s="286"/>
      <c r="Q62" s="245">
        <f>IF(入力シート!I19=1,0,入力シート!G9)</f>
        <v>0</v>
      </c>
      <c r="R62" s="246"/>
      <c r="S62" s="247"/>
      <c r="T62" s="279" t="s">
        <v>169</v>
      </c>
      <c r="U62" s="280"/>
      <c r="V62" s="249" t="e">
        <f>+L62+Q62</f>
        <v>#DIV/0!</v>
      </c>
      <c r="W62" s="250"/>
      <c r="X62" s="251"/>
      <c r="Y62" s="33"/>
      <c r="AB62" s="119"/>
      <c r="AC62" s="119"/>
      <c r="AD62" s="119"/>
      <c r="AE62" s="119"/>
      <c r="AF62" s="170"/>
      <c r="AG62" s="119"/>
    </row>
    <row r="63" spans="3:47" s="110" customFormat="1" ht="14.25" customHeight="1" x14ac:dyDescent="0.15">
      <c r="C63" s="119"/>
      <c r="D63" s="169"/>
      <c r="E63" s="171"/>
      <c r="F63" s="113"/>
      <c r="G63" s="119"/>
      <c r="H63" s="178"/>
      <c r="I63" s="180"/>
      <c r="J63" s="113"/>
      <c r="K63" s="178"/>
      <c r="L63" s="113"/>
      <c r="M63" s="178"/>
      <c r="N63" s="178"/>
      <c r="O63" s="119"/>
      <c r="P63" s="37" t="str">
        <f>IF(入力シート!I19=1,"道府県庁職員は支給されません","")</f>
        <v/>
      </c>
      <c r="R63" s="178"/>
      <c r="S63" s="119"/>
      <c r="T63" s="113"/>
      <c r="U63" s="178"/>
      <c r="V63" s="178"/>
      <c r="W63" s="180"/>
      <c r="X63" s="113"/>
      <c r="Y63" s="178"/>
      <c r="Z63" s="178"/>
      <c r="AA63" s="119"/>
      <c r="AB63" s="119"/>
      <c r="AC63" s="119"/>
      <c r="AD63" s="119"/>
      <c r="AE63" s="119"/>
      <c r="AF63" s="170"/>
      <c r="AG63" s="119"/>
      <c r="AJ63" s="119"/>
    </row>
    <row r="64" spans="3:47" ht="14.25" customHeight="1" x14ac:dyDescent="0.15">
      <c r="C64" s="48"/>
      <c r="D64" s="162"/>
      <c r="E64" s="48"/>
      <c r="F64" s="114" t="s">
        <v>134</v>
      </c>
      <c r="G64" s="48"/>
      <c r="H64" s="48"/>
      <c r="I64" s="65"/>
      <c r="J64" s="48"/>
      <c r="K64" s="48"/>
      <c r="L64" s="48"/>
      <c r="M64" s="65"/>
      <c r="N64" s="48"/>
      <c r="O64" s="48"/>
      <c r="P64" s="48"/>
      <c r="Q64" s="48"/>
      <c r="R64" s="48"/>
      <c r="S64" s="65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163"/>
      <c r="AG64" s="48"/>
    </row>
    <row r="65" spans="3:36" ht="14.25" customHeight="1" x14ac:dyDescent="0.15">
      <c r="C65" s="48"/>
      <c r="D65" s="162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163"/>
      <c r="AG65" s="48"/>
    </row>
    <row r="66" spans="3:36" ht="14.25" customHeight="1" x14ac:dyDescent="0.15">
      <c r="C66" s="48"/>
      <c r="D66" s="162"/>
      <c r="E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163"/>
      <c r="AG66" s="48"/>
      <c r="AJ66" s="48"/>
    </row>
    <row r="67" spans="3:36" x14ac:dyDescent="0.15">
      <c r="C67" s="48"/>
      <c r="D67" s="162"/>
      <c r="E67" s="48"/>
      <c r="F67" s="48"/>
      <c r="G67" s="48"/>
      <c r="H67" s="48"/>
      <c r="I67" s="65"/>
      <c r="J67" s="48"/>
      <c r="K67" s="48"/>
      <c r="L67" s="48"/>
      <c r="M67" s="65"/>
      <c r="N67" s="48"/>
      <c r="O67" s="48"/>
      <c r="P67" s="48"/>
      <c r="Q67" s="48"/>
      <c r="R67" s="48"/>
      <c r="S67" s="65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163"/>
      <c r="AG67" s="48"/>
      <c r="AJ67" s="48"/>
    </row>
    <row r="68" spans="3:36" x14ac:dyDescent="0.15">
      <c r="AJ68" s="48"/>
    </row>
    <row r="69" spans="3:36" x14ac:dyDescent="0.15">
      <c r="AJ69" s="48"/>
    </row>
    <row r="70" spans="3:36" x14ac:dyDescent="0.15">
      <c r="AJ70" s="48"/>
    </row>
    <row r="71" spans="3:36" x14ac:dyDescent="0.15">
      <c r="I71" s="33"/>
      <c r="M71" s="33"/>
      <c r="S71" s="33"/>
    </row>
    <row r="72" spans="3:36" x14ac:dyDescent="0.15">
      <c r="I72" s="33"/>
      <c r="M72" s="33"/>
      <c r="S72" s="33"/>
    </row>
    <row r="73" spans="3:36" x14ac:dyDescent="0.15">
      <c r="I73" s="33"/>
      <c r="M73" s="33"/>
      <c r="S73" s="33"/>
    </row>
  </sheetData>
  <sheetProtection sheet="1" objects="1" scenarios="1" selectLockedCells="1"/>
  <mergeCells count="78">
    <mergeCell ref="T47:V47"/>
    <mergeCell ref="Y57:Z57"/>
    <mergeCell ref="AA57:AC57"/>
    <mergeCell ref="AA54:AC54"/>
    <mergeCell ref="V54:X54"/>
    <mergeCell ref="V57:X57"/>
    <mergeCell ref="AI51:AK51"/>
    <mergeCell ref="AL51:AM51"/>
    <mergeCell ref="AN51:AP51"/>
    <mergeCell ref="AQ51:AR51"/>
    <mergeCell ref="V51:X51"/>
    <mergeCell ref="AS51:AU51"/>
    <mergeCell ref="F4:AD5"/>
    <mergeCell ref="J31:L31"/>
    <mergeCell ref="N31:R31"/>
    <mergeCell ref="T31:V31"/>
    <mergeCell ref="AT39:AV39"/>
    <mergeCell ref="AP31:AR31"/>
    <mergeCell ref="AL31:AN31"/>
    <mergeCell ref="AH39:AJ39"/>
    <mergeCell ref="AL39:AN39"/>
    <mergeCell ref="AH31:AJ31"/>
    <mergeCell ref="AP39:AR39"/>
    <mergeCell ref="AA10:AC10"/>
    <mergeCell ref="F20:H20"/>
    <mergeCell ref="J20:L20"/>
    <mergeCell ref="M20:O20"/>
    <mergeCell ref="P20:R20"/>
    <mergeCell ref="T62:U62"/>
    <mergeCell ref="L47:N47"/>
    <mergeCell ref="O47:Q47"/>
    <mergeCell ref="L51:N51"/>
    <mergeCell ref="O51:P51"/>
    <mergeCell ref="Q51:S51"/>
    <mergeCell ref="T51:U51"/>
    <mergeCell ref="L62:N62"/>
    <mergeCell ref="O62:P62"/>
    <mergeCell ref="L57:N57"/>
    <mergeCell ref="O57:P57"/>
    <mergeCell ref="Q57:S57"/>
    <mergeCell ref="T57:U57"/>
    <mergeCell ref="R23:T23"/>
    <mergeCell ref="L39:N39"/>
    <mergeCell ref="H10:J10"/>
    <mergeCell ref="L10:N10"/>
    <mergeCell ref="P10:R10"/>
    <mergeCell ref="F14:H14"/>
    <mergeCell ref="J14:L14"/>
    <mergeCell ref="M14:O14"/>
    <mergeCell ref="P14:R14"/>
    <mergeCell ref="F17:H17"/>
    <mergeCell ref="J17:L17"/>
    <mergeCell ref="N17:P17"/>
    <mergeCell ref="R17:T17"/>
    <mergeCell ref="U17:X17"/>
    <mergeCell ref="V62:X62"/>
    <mergeCell ref="AL10:AN10"/>
    <mergeCell ref="AH17:AJ17"/>
    <mergeCell ref="AL17:AN17"/>
    <mergeCell ref="AH14:AJ14"/>
    <mergeCell ref="AL14:AN14"/>
    <mergeCell ref="AH10:AJ10"/>
    <mergeCell ref="X39:Z39"/>
    <mergeCell ref="Y17:AA17"/>
    <mergeCell ref="AA31:AC31"/>
    <mergeCell ref="V23:X23"/>
    <mergeCell ref="T39:V39"/>
    <mergeCell ref="AH20:AJ20"/>
    <mergeCell ref="AL20:AN20"/>
    <mergeCell ref="T10:V10"/>
    <mergeCell ref="W10:Y10"/>
    <mergeCell ref="P39:R39"/>
    <mergeCell ref="F31:H31"/>
    <mergeCell ref="N23:P23"/>
    <mergeCell ref="J23:L23"/>
    <mergeCell ref="F61:I62"/>
    <mergeCell ref="Q62:S62"/>
    <mergeCell ref="R47:S47"/>
  </mergeCells>
  <phoneticPr fontId="2"/>
  <pageMargins left="0.7" right="0.7" top="0.75" bottom="0.75" header="0.3" footer="0.3"/>
  <pageSetup paperSize="9" scale="87" orientation="portrait" r:id="rId1"/>
  <colBreaks count="1" manualBreakCount="1">
    <brk id="31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-0.249977111117893"/>
  </sheetPr>
  <dimension ref="B1:Q34"/>
  <sheetViews>
    <sheetView tabSelected="1" zoomScaleNormal="100" workbookViewId="0">
      <selection activeCell="D6" sqref="D6"/>
    </sheetView>
  </sheetViews>
  <sheetFormatPr defaultColWidth="9" defaultRowHeight="13.5" x14ac:dyDescent="0.15"/>
  <cols>
    <col min="1" max="1" width="2.75" style="33" customWidth="1"/>
    <col min="2" max="2" width="13.125" style="33" customWidth="1"/>
    <col min="3" max="3" width="10.375" style="33" bestFit="1" customWidth="1"/>
    <col min="4" max="12" width="10.625" style="33" customWidth="1"/>
    <col min="13" max="13" width="9" style="33"/>
    <col min="14" max="16" width="0" style="33" hidden="1" customWidth="1"/>
    <col min="17" max="16384" width="9" style="33"/>
  </cols>
  <sheetData>
    <row r="1" spans="2:17" ht="19.5" thickBot="1" x14ac:dyDescent="0.2">
      <c r="B1" s="121" t="s">
        <v>251</v>
      </c>
    </row>
    <row r="2" spans="2:17" ht="14.25" thickTop="1" x14ac:dyDescent="0.15"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2:17" x14ac:dyDescent="0.15">
      <c r="B3" s="125"/>
      <c r="C3" s="138" t="s">
        <v>136</v>
      </c>
      <c r="D3" s="48"/>
      <c r="E3" s="48"/>
      <c r="F3" s="223"/>
      <c r="G3" s="48" t="s">
        <v>252</v>
      </c>
      <c r="H3" s="48"/>
      <c r="I3" s="48"/>
      <c r="J3" s="48"/>
      <c r="K3" s="48"/>
      <c r="L3" s="48"/>
      <c r="M3" s="126"/>
    </row>
    <row r="4" spans="2:17" ht="14.25" thickBot="1" x14ac:dyDescent="0.2">
      <c r="B4" s="127" t="s">
        <v>63</v>
      </c>
      <c r="C4" s="120"/>
      <c r="D4" s="48"/>
      <c r="E4" s="48"/>
      <c r="F4" s="48"/>
      <c r="G4" s="48"/>
      <c r="H4" s="48"/>
      <c r="I4" s="48"/>
      <c r="J4" s="48"/>
      <c r="L4" s="48"/>
      <c r="M4" s="126"/>
      <c r="O4" s="40" t="s">
        <v>70</v>
      </c>
    </row>
    <row r="5" spans="2:17" s="34" customFormat="1" x14ac:dyDescent="0.15">
      <c r="B5" s="128" t="s">
        <v>112</v>
      </c>
      <c r="C5" s="317" t="s">
        <v>94</v>
      </c>
      <c r="D5" s="148" t="s">
        <v>1</v>
      </c>
      <c r="E5" s="153" t="s">
        <v>58</v>
      </c>
      <c r="F5" s="144" t="s">
        <v>62</v>
      </c>
      <c r="G5" s="144" t="s">
        <v>62</v>
      </c>
      <c r="H5" s="183" t="s">
        <v>62</v>
      </c>
      <c r="I5" s="183" t="s">
        <v>62</v>
      </c>
      <c r="J5" s="183" t="s">
        <v>62</v>
      </c>
      <c r="K5" s="183" t="s">
        <v>62</v>
      </c>
      <c r="L5" s="184" t="s">
        <v>62</v>
      </c>
      <c r="M5" s="129"/>
      <c r="N5" s="68">
        <f>SUM(E6:L6)</f>
        <v>0</v>
      </c>
    </row>
    <row r="6" spans="2:17" ht="14.25" thickBot="1" x14ac:dyDescent="0.2">
      <c r="B6" s="130">
        <f>+O6</f>
        <v>88000</v>
      </c>
      <c r="C6" s="318"/>
      <c r="D6" s="224">
        <v>88000</v>
      </c>
      <c r="E6" s="231">
        <v>0</v>
      </c>
      <c r="F6" s="231">
        <v>0</v>
      </c>
      <c r="G6" s="232">
        <v>0</v>
      </c>
      <c r="H6" s="185"/>
      <c r="I6" s="185"/>
      <c r="J6" s="185"/>
      <c r="K6" s="185"/>
      <c r="L6" s="186"/>
      <c r="M6" s="126"/>
      <c r="O6" s="68">
        <f>+D6+N5/12</f>
        <v>88000</v>
      </c>
      <c r="P6" s="69">
        <f>+O6/O18</f>
        <v>1</v>
      </c>
      <c r="Q6" s="38"/>
    </row>
    <row r="7" spans="2:17" ht="14.25" thickBot="1" x14ac:dyDescent="0.2">
      <c r="B7" s="131"/>
      <c r="C7" s="155"/>
      <c r="D7" s="193"/>
      <c r="E7" s="193" t="s">
        <v>63</v>
      </c>
      <c r="F7" s="193"/>
      <c r="G7" s="48"/>
      <c r="H7" s="48"/>
      <c r="I7" s="48"/>
      <c r="J7" s="48"/>
      <c r="K7" s="48"/>
      <c r="L7" s="48"/>
      <c r="M7" s="126"/>
      <c r="N7" s="38"/>
      <c r="O7" s="38"/>
      <c r="P7" s="38"/>
      <c r="Q7" s="38"/>
    </row>
    <row r="8" spans="2:17" x14ac:dyDescent="0.15">
      <c r="B8" s="128" t="s">
        <v>112</v>
      </c>
      <c r="C8" s="317" t="s">
        <v>258</v>
      </c>
      <c r="D8" s="148" t="s">
        <v>59</v>
      </c>
      <c r="E8" s="153" t="s">
        <v>93</v>
      </c>
      <c r="F8" s="201" t="s">
        <v>27</v>
      </c>
      <c r="G8" s="150" t="s">
        <v>174</v>
      </c>
      <c r="H8" s="139" t="s">
        <v>61</v>
      </c>
      <c r="I8" s="48"/>
      <c r="J8" s="191" t="s">
        <v>257</v>
      </c>
      <c r="L8" s="48"/>
      <c r="M8" s="126"/>
      <c r="N8" s="38"/>
      <c r="O8" s="38"/>
      <c r="P8" s="38"/>
      <c r="Q8" s="38"/>
    </row>
    <row r="9" spans="2:17" ht="14.25" thickBot="1" x14ac:dyDescent="0.2">
      <c r="B9" s="130">
        <f>+O9</f>
        <v>0</v>
      </c>
      <c r="C9" s="318"/>
      <c r="D9" s="224">
        <v>0</v>
      </c>
      <c r="E9" s="228">
        <v>0</v>
      </c>
      <c r="F9" s="229">
        <v>0</v>
      </c>
      <c r="G9" s="230">
        <v>0</v>
      </c>
      <c r="H9" s="187">
        <f>+D9-E9-F9</f>
        <v>0</v>
      </c>
      <c r="I9" s="48"/>
      <c r="J9" s="48"/>
      <c r="L9" s="48"/>
      <c r="M9" s="126"/>
      <c r="N9" s="68" t="s">
        <v>232</v>
      </c>
      <c r="O9" s="68">
        <f>+H9/12</f>
        <v>0</v>
      </c>
      <c r="P9" s="69">
        <f>+O9/O18</f>
        <v>0</v>
      </c>
      <c r="Q9" s="38"/>
    </row>
    <row r="10" spans="2:17" ht="14.25" thickBot="1" x14ac:dyDescent="0.2">
      <c r="B10" s="131"/>
      <c r="C10" s="155"/>
      <c r="D10" s="193"/>
      <c r="E10" s="193"/>
      <c r="F10" s="193"/>
      <c r="G10" s="48"/>
      <c r="H10" s="48"/>
      <c r="I10" s="48"/>
      <c r="J10" s="234" t="s">
        <v>185</v>
      </c>
      <c r="K10" s="234"/>
      <c r="L10" s="48"/>
      <c r="M10" s="126"/>
      <c r="N10" s="38"/>
      <c r="O10" s="38"/>
      <c r="P10" s="38"/>
    </row>
    <row r="11" spans="2:17" x14ac:dyDescent="0.15">
      <c r="B11" s="128" t="s">
        <v>112</v>
      </c>
      <c r="C11" s="317" t="s">
        <v>165</v>
      </c>
      <c r="D11" s="150" t="s">
        <v>61</v>
      </c>
      <c r="E11" s="193"/>
      <c r="F11" s="193"/>
      <c r="J11" s="235" t="s">
        <v>183</v>
      </c>
      <c r="K11" s="235" t="s">
        <v>235</v>
      </c>
      <c r="M11" s="126"/>
      <c r="N11" s="38"/>
      <c r="O11" s="38"/>
      <c r="P11" s="38"/>
    </row>
    <row r="12" spans="2:17" ht="14.25" thickBot="1" x14ac:dyDescent="0.2">
      <c r="B12" s="130">
        <f>+N7</f>
        <v>0</v>
      </c>
      <c r="C12" s="318"/>
      <c r="D12" s="230">
        <v>0</v>
      </c>
      <c r="E12" s="193"/>
      <c r="J12" s="235" t="s">
        <v>184</v>
      </c>
      <c r="K12" s="235">
        <v>11</v>
      </c>
      <c r="M12" s="126"/>
      <c r="N12" s="38"/>
      <c r="O12" s="68">
        <f>+D12/12</f>
        <v>0</v>
      </c>
      <c r="P12" s="69">
        <f>+O12/O18</f>
        <v>0</v>
      </c>
    </row>
    <row r="13" spans="2:17" ht="14.25" thickBot="1" x14ac:dyDescent="0.2">
      <c r="B13" s="194"/>
      <c r="C13" s="211"/>
      <c r="D13" s="193"/>
      <c r="E13" s="193"/>
      <c r="M13" s="126"/>
      <c r="N13" s="38"/>
      <c r="O13" s="35"/>
      <c r="P13" s="35"/>
    </row>
    <row r="14" spans="2:17" s="34" customFormat="1" x14ac:dyDescent="0.15">
      <c r="B14" s="128" t="s">
        <v>112</v>
      </c>
      <c r="C14" s="317" t="s">
        <v>91</v>
      </c>
      <c r="D14" s="150" t="s">
        <v>61</v>
      </c>
      <c r="E14" s="141"/>
      <c r="F14" s="141"/>
      <c r="G14" s="65"/>
      <c r="H14" s="65"/>
      <c r="I14" s="65"/>
      <c r="J14" s="225"/>
      <c r="K14" s="319"/>
      <c r="L14" s="319"/>
      <c r="M14" s="129"/>
      <c r="N14" s="35"/>
      <c r="O14" s="33"/>
      <c r="P14" s="33"/>
    </row>
    <row r="15" spans="2:17" ht="14.25" thickBot="1" x14ac:dyDescent="0.2">
      <c r="B15" s="130">
        <f>+O15</f>
        <v>0</v>
      </c>
      <c r="C15" s="318"/>
      <c r="D15" s="230">
        <v>0</v>
      </c>
      <c r="E15" s="193"/>
      <c r="F15" s="38"/>
      <c r="G15" s="48"/>
      <c r="H15" s="48"/>
      <c r="I15" s="48"/>
      <c r="J15" s="174"/>
      <c r="K15" s="48"/>
      <c r="L15" s="48"/>
      <c r="M15" s="126"/>
      <c r="O15" s="68">
        <f>+D15/12</f>
        <v>0</v>
      </c>
      <c r="P15" s="69">
        <f>+O15/O18</f>
        <v>0</v>
      </c>
      <c r="Q15" s="38"/>
    </row>
    <row r="16" spans="2:17" x14ac:dyDescent="0.15">
      <c r="B16" s="132"/>
      <c r="C16" s="48" t="s">
        <v>63</v>
      </c>
      <c r="D16" s="48" t="s">
        <v>63</v>
      </c>
      <c r="E16" s="48"/>
      <c r="G16" s="192"/>
      <c r="H16" s="120"/>
      <c r="I16" s="48"/>
      <c r="J16" s="48"/>
      <c r="K16" s="48"/>
      <c r="L16" s="48"/>
      <c r="M16" s="126"/>
    </row>
    <row r="17" spans="2:15" ht="14.25" thickBot="1" x14ac:dyDescent="0.2">
      <c r="B17" s="132"/>
      <c r="C17" s="48"/>
      <c r="D17" s="48"/>
      <c r="E17" s="48"/>
      <c r="G17" s="48"/>
      <c r="H17" s="48"/>
      <c r="I17" s="48"/>
      <c r="J17" s="48"/>
      <c r="K17" s="48"/>
      <c r="L17" s="48"/>
      <c r="M17" s="126"/>
    </row>
    <row r="18" spans="2:15" ht="14.25" thickTop="1" x14ac:dyDescent="0.15">
      <c r="B18" s="132"/>
      <c r="C18" s="189" t="s">
        <v>163</v>
      </c>
      <c r="D18" s="48" t="s">
        <v>108</v>
      </c>
      <c r="F18" s="226"/>
      <c r="G18" s="51"/>
      <c r="H18" s="48"/>
      <c r="I18" s="136" t="s">
        <v>253</v>
      </c>
      <c r="J18" s="48" t="s">
        <v>108</v>
      </c>
      <c r="K18" s="48"/>
      <c r="L18" s="48"/>
      <c r="M18" s="126"/>
      <c r="N18" s="315" t="s">
        <v>233</v>
      </c>
      <c r="O18" s="313">
        <f>+O9+O12+O15+O6</f>
        <v>88000</v>
      </c>
    </row>
    <row r="19" spans="2:15" ht="14.25" thickBot="1" x14ac:dyDescent="0.2">
      <c r="B19" s="132"/>
      <c r="C19" s="233">
        <v>0</v>
      </c>
      <c r="D19" s="48" t="s">
        <v>256</v>
      </c>
      <c r="F19" s="227"/>
      <c r="G19" s="51"/>
      <c r="H19" s="65"/>
      <c r="I19" s="233">
        <v>0</v>
      </c>
      <c r="J19" s="48" t="s">
        <v>101</v>
      </c>
      <c r="K19" s="48"/>
      <c r="L19" s="48"/>
      <c r="M19" s="126"/>
      <c r="N19" s="316"/>
      <c r="O19" s="314"/>
    </row>
    <row r="20" spans="2:15" ht="14.25" thickTop="1" x14ac:dyDescent="0.15">
      <c r="B20" s="132"/>
      <c r="C20" s="48"/>
      <c r="D20" s="48" t="s">
        <v>162</v>
      </c>
      <c r="E20" s="48"/>
      <c r="F20" s="197"/>
      <c r="G20" s="51"/>
      <c r="H20" s="48"/>
      <c r="I20" s="48"/>
      <c r="J20" s="48" t="s">
        <v>182</v>
      </c>
      <c r="K20" s="48"/>
      <c r="L20" s="48"/>
      <c r="M20" s="126"/>
      <c r="N20" s="315" t="s">
        <v>234</v>
      </c>
      <c r="O20" s="313">
        <f>+O18-470000</f>
        <v>-382000</v>
      </c>
    </row>
    <row r="21" spans="2:15" x14ac:dyDescent="0.15">
      <c r="B21" s="132"/>
      <c r="C21" s="65"/>
      <c r="D21" s="48"/>
      <c r="E21" s="65"/>
      <c r="F21" s="197"/>
      <c r="G21" s="51"/>
      <c r="H21" s="48"/>
      <c r="I21" s="48"/>
      <c r="J21" s="48"/>
      <c r="K21" s="48"/>
      <c r="L21" s="48"/>
      <c r="M21" s="126"/>
      <c r="N21" s="316"/>
      <c r="O21" s="314"/>
    </row>
    <row r="22" spans="2:15" ht="14.25" thickBot="1" x14ac:dyDescent="0.2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2:15" ht="15" thickTop="1" thickBot="1" x14ac:dyDescent="0.2"/>
    <row r="24" spans="2:15" ht="14.25" thickBot="1" x14ac:dyDescent="0.2">
      <c r="B24" s="311" t="s">
        <v>236</v>
      </c>
      <c r="C24" s="312"/>
      <c r="D24" s="219">
        <v>500000</v>
      </c>
    </row>
    <row r="26" spans="2:15" hidden="1" x14ac:dyDescent="0.15">
      <c r="C26" s="199">
        <f>IF(入力シート!F9=0,0,IF(計算書!V51="0",1,C19))</f>
        <v>0</v>
      </c>
      <c r="D26" s="33" t="s">
        <v>166</v>
      </c>
      <c r="I26" s="199">
        <f>IF(I19=1,1,F19)</f>
        <v>0</v>
      </c>
      <c r="J26" s="33" t="s">
        <v>166</v>
      </c>
    </row>
    <row r="29" spans="2:15" x14ac:dyDescent="0.15">
      <c r="M29" s="48"/>
    </row>
    <row r="30" spans="2:15" x14ac:dyDescent="0.15">
      <c r="M30" s="48"/>
    </row>
    <row r="31" spans="2:15" x14ac:dyDescent="0.15">
      <c r="M31" s="48"/>
    </row>
    <row r="32" spans="2:15" x14ac:dyDescent="0.15">
      <c r="M32" s="48"/>
    </row>
    <row r="33" spans="11:13" x14ac:dyDescent="0.15">
      <c r="K33" s="48"/>
      <c r="L33" s="48"/>
      <c r="M33" s="48"/>
    </row>
    <row r="34" spans="11:13" x14ac:dyDescent="0.15">
      <c r="K34" s="48"/>
      <c r="L34" s="48"/>
      <c r="M34" s="48"/>
    </row>
  </sheetData>
  <sheetProtection sheet="1" selectLockedCells="1"/>
  <mergeCells count="10">
    <mergeCell ref="C5:C6"/>
    <mergeCell ref="C8:C9"/>
    <mergeCell ref="C11:C12"/>
    <mergeCell ref="C14:C15"/>
    <mergeCell ref="K14:L14"/>
    <mergeCell ref="B24:C24"/>
    <mergeCell ref="O18:O19"/>
    <mergeCell ref="N18:N19"/>
    <mergeCell ref="N20:N21"/>
    <mergeCell ref="O20:O21"/>
  </mergeCells>
  <phoneticPr fontId="2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リスト!$C$2:$C$33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 tint="-0.499984740745262"/>
  </sheetPr>
  <dimension ref="A1:M57"/>
  <sheetViews>
    <sheetView topLeftCell="A34" zoomScaleNormal="100" zoomScaleSheetLayoutView="100" workbookViewId="0">
      <selection activeCell="A47" sqref="A47:C47"/>
    </sheetView>
  </sheetViews>
  <sheetFormatPr defaultRowHeight="13.5" x14ac:dyDescent="0.15"/>
  <cols>
    <col min="1" max="1" width="13.125" customWidth="1"/>
    <col min="2" max="3" width="8.5" customWidth="1"/>
    <col min="4" max="5" width="5.625" customWidth="1"/>
    <col min="6" max="6" width="17.25" customWidth="1"/>
    <col min="7" max="7" width="4.75" customWidth="1"/>
    <col min="8" max="8" width="18.75" customWidth="1"/>
    <col min="9" max="9" width="8.75" customWidth="1"/>
  </cols>
  <sheetData>
    <row r="1" spans="1:10" x14ac:dyDescent="0.15">
      <c r="A1" s="293" t="s">
        <v>22</v>
      </c>
      <c r="B1" s="293"/>
      <c r="C1" s="293"/>
      <c r="D1" s="293"/>
      <c r="E1" s="293"/>
      <c r="F1" s="293"/>
      <c r="G1" s="293"/>
      <c r="H1" s="293"/>
      <c r="I1" s="293"/>
    </row>
    <row r="2" spans="1:10" ht="14.25" thickBot="1" x14ac:dyDescent="0.2"/>
    <row r="3" spans="1:10" ht="14.25" thickBot="1" x14ac:dyDescent="0.2">
      <c r="A3" s="327" t="s">
        <v>19</v>
      </c>
      <c r="B3" s="327"/>
      <c r="C3" s="321"/>
      <c r="D3" s="340" t="s">
        <v>20</v>
      </c>
      <c r="E3" s="341"/>
      <c r="H3" s="29" t="s">
        <v>51</v>
      </c>
      <c r="I3" s="30" t="s">
        <v>52</v>
      </c>
    </row>
    <row r="4" spans="1:10" ht="15" thickTop="1" thickBot="1" x14ac:dyDescent="0.2">
      <c r="A4" s="321" t="s">
        <v>0</v>
      </c>
      <c r="B4" s="357"/>
      <c r="C4" s="357"/>
      <c r="D4" s="19">
        <v>27</v>
      </c>
      <c r="E4" s="20">
        <v>10</v>
      </c>
      <c r="H4" s="27" t="e">
        <f>+D54/6</f>
        <v>#DIV/0!</v>
      </c>
      <c r="I4" s="27" t="e">
        <f>+D54/12</f>
        <v>#DIV/0!</v>
      </c>
      <c r="J4" t="s">
        <v>56</v>
      </c>
    </row>
    <row r="5" spans="1:10" ht="14.25" thickBot="1" x14ac:dyDescent="0.2">
      <c r="A5" s="358" t="s">
        <v>1</v>
      </c>
      <c r="B5" s="357"/>
      <c r="C5" s="357"/>
      <c r="D5" s="359">
        <f>+算定シート2!D6</f>
        <v>88000</v>
      </c>
      <c r="E5" s="360"/>
      <c r="F5" t="s">
        <v>11</v>
      </c>
      <c r="H5" s="28" t="e">
        <f>+D55/6</f>
        <v>#DIV/0!</v>
      </c>
      <c r="I5" s="28" t="e">
        <f>+D55/12</f>
        <v>#DIV/0!</v>
      </c>
      <c r="J5" t="s">
        <v>57</v>
      </c>
    </row>
    <row r="6" spans="1:10" x14ac:dyDescent="0.15">
      <c r="A6" s="324" t="s">
        <v>2</v>
      </c>
      <c r="B6" s="12">
        <f t="shared" ref="B6:B17" si="0">IF($C6&lt;=$E$4,$D$4,$D$4-1)</f>
        <v>26</v>
      </c>
      <c r="C6" s="21">
        <f>IF($E$4-11&gt;0,$E$4-11,$E$4-11+12)</f>
        <v>11</v>
      </c>
      <c r="D6" s="361">
        <f>+算定シート2!E6</f>
        <v>0</v>
      </c>
      <c r="E6" s="362"/>
      <c r="F6" s="37">
        <v>1</v>
      </c>
      <c r="G6" s="22"/>
      <c r="H6" s="26" t="e">
        <f>+D56/6</f>
        <v>#DIV/0!</v>
      </c>
      <c r="I6" s="26" t="e">
        <f>+D56/12</f>
        <v>#DIV/0!</v>
      </c>
      <c r="J6" t="s">
        <v>54</v>
      </c>
    </row>
    <row r="7" spans="1:10" x14ac:dyDescent="0.15">
      <c r="A7" s="325"/>
      <c r="B7" s="12">
        <f t="shared" si="0"/>
        <v>26</v>
      </c>
      <c r="C7" s="21">
        <f>IF($E$4-10&gt;0,$E$4-10,$E$4-10+12)</f>
        <v>12</v>
      </c>
      <c r="D7" s="350">
        <f>+算定シート2!F6</f>
        <v>0</v>
      </c>
      <c r="E7" s="351"/>
      <c r="F7" s="37">
        <v>2</v>
      </c>
      <c r="G7" s="22"/>
      <c r="H7" s="25" t="e">
        <f>+D57/6</f>
        <v>#DIV/0!</v>
      </c>
      <c r="I7" s="25" t="e">
        <f>+D57/12</f>
        <v>#DIV/0!</v>
      </c>
      <c r="J7" t="s">
        <v>55</v>
      </c>
    </row>
    <row r="8" spans="1:10" x14ac:dyDescent="0.15">
      <c r="A8" s="325"/>
      <c r="B8" s="12">
        <f t="shared" si="0"/>
        <v>27</v>
      </c>
      <c r="C8" s="21">
        <f>IF($E$4-9&gt;0,$E$4-9,$E$4-9+12)</f>
        <v>1</v>
      </c>
      <c r="D8" s="350">
        <f>+算定シート2!G6</f>
        <v>0</v>
      </c>
      <c r="E8" s="351"/>
      <c r="F8" s="37">
        <v>3</v>
      </c>
      <c r="G8" s="22"/>
    </row>
    <row r="9" spans="1:10" x14ac:dyDescent="0.15">
      <c r="A9" s="325"/>
      <c r="B9" s="12">
        <f t="shared" si="0"/>
        <v>27</v>
      </c>
      <c r="C9" s="21">
        <f>IF($E$4-8&gt;0,$E$4-8,$E$4-8+12)</f>
        <v>2</v>
      </c>
      <c r="D9" s="350">
        <f>+算定シート2!H6</f>
        <v>0</v>
      </c>
      <c r="E9" s="351"/>
      <c r="F9" s="37">
        <v>4</v>
      </c>
      <c r="G9" s="22"/>
    </row>
    <row r="10" spans="1:10" x14ac:dyDescent="0.15">
      <c r="A10" s="325"/>
      <c r="B10" s="12">
        <f t="shared" si="0"/>
        <v>27</v>
      </c>
      <c r="C10" s="21">
        <f>IF($E$4-7&gt;0,$E$4-7,$E$4-7+12)</f>
        <v>3</v>
      </c>
      <c r="D10" s="350">
        <f>+算定シート2!I6</f>
        <v>0</v>
      </c>
      <c r="E10" s="351"/>
      <c r="F10" s="37">
        <v>5</v>
      </c>
      <c r="G10" s="22"/>
    </row>
    <row r="11" spans="1:10" x14ac:dyDescent="0.15">
      <c r="A11" s="325"/>
      <c r="B11" s="12">
        <f t="shared" si="0"/>
        <v>27</v>
      </c>
      <c r="C11" s="21">
        <f>IF($E$4-6&gt;0,$E$4-6,$E$4-6+12)</f>
        <v>4</v>
      </c>
      <c r="D11" s="350">
        <f>+算定シート2!J6</f>
        <v>0</v>
      </c>
      <c r="E11" s="351"/>
      <c r="F11" s="37">
        <v>6</v>
      </c>
      <c r="G11" s="22"/>
    </row>
    <row r="12" spans="1:10" x14ac:dyDescent="0.15">
      <c r="A12" s="325"/>
      <c r="B12" s="12">
        <f t="shared" si="0"/>
        <v>27</v>
      </c>
      <c r="C12" s="21">
        <f>IF($E$4-5&gt;0,$E$4-5,$E$4-5+12)</f>
        <v>5</v>
      </c>
      <c r="D12" s="350">
        <f>+算定シート2!K6</f>
        <v>0</v>
      </c>
      <c r="E12" s="351"/>
      <c r="F12" s="37">
        <v>7</v>
      </c>
      <c r="G12" s="22"/>
    </row>
    <row r="13" spans="1:10" x14ac:dyDescent="0.15">
      <c r="A13" s="325"/>
      <c r="B13" s="12">
        <f t="shared" si="0"/>
        <v>27</v>
      </c>
      <c r="C13" s="21">
        <f>IF($E$4-4&gt;0,$E$4-4,$E$4-4+12)</f>
        <v>6</v>
      </c>
      <c r="D13" s="350">
        <f>+算定シート2!L6</f>
        <v>0</v>
      </c>
      <c r="E13" s="351"/>
      <c r="F13" s="37">
        <v>8</v>
      </c>
      <c r="G13" s="22"/>
    </row>
    <row r="14" spans="1:10" x14ac:dyDescent="0.15">
      <c r="A14" s="325"/>
      <c r="B14" s="12">
        <f t="shared" si="0"/>
        <v>27</v>
      </c>
      <c r="C14" s="21">
        <f>IF($E$4-3&gt;0,$E$4-3,$E$4-3+12)</f>
        <v>7</v>
      </c>
      <c r="D14" s="350"/>
      <c r="E14" s="351"/>
      <c r="G14" s="22"/>
    </row>
    <row r="15" spans="1:10" x14ac:dyDescent="0.15">
      <c r="A15" s="325"/>
      <c r="B15" s="12">
        <f t="shared" si="0"/>
        <v>27</v>
      </c>
      <c r="C15" s="21">
        <f>IF($E$4-2&gt;0,$E$4-2,$E$4-2+12)</f>
        <v>8</v>
      </c>
      <c r="D15" s="350"/>
      <c r="E15" s="351"/>
      <c r="G15" s="22"/>
    </row>
    <row r="16" spans="1:10" x14ac:dyDescent="0.15">
      <c r="A16" s="325"/>
      <c r="B16" s="12">
        <f t="shared" si="0"/>
        <v>27</v>
      </c>
      <c r="C16" s="21">
        <f>IF($E$4-1&gt;0,$E$4-1,$E$4-1+12)</f>
        <v>9</v>
      </c>
      <c r="D16" s="350"/>
      <c r="E16" s="351"/>
      <c r="G16" s="22"/>
    </row>
    <row r="17" spans="1:13" x14ac:dyDescent="0.15">
      <c r="A17" s="325"/>
      <c r="B17" s="12">
        <f t="shared" si="0"/>
        <v>27</v>
      </c>
      <c r="C17" s="21">
        <f>IF($E$4&gt;0,$E$4,$E$4+12)</f>
        <v>10</v>
      </c>
      <c r="D17" s="350"/>
      <c r="E17" s="351"/>
      <c r="G17" s="22"/>
      <c r="L17" s="5" t="s">
        <v>72</v>
      </c>
      <c r="M17" s="5" t="s">
        <v>73</v>
      </c>
    </row>
    <row r="18" spans="1:13" x14ac:dyDescent="0.15">
      <c r="A18" s="326"/>
      <c r="B18" s="352" t="s">
        <v>10</v>
      </c>
      <c r="C18" s="353"/>
      <c r="D18" s="354">
        <f>SUM(D6:E17)</f>
        <v>0</v>
      </c>
      <c r="E18" s="355"/>
      <c r="F18" t="s">
        <v>12</v>
      </c>
      <c r="K18" s="44" t="s">
        <v>9</v>
      </c>
      <c r="L18" s="82">
        <f>+D25</f>
        <v>0</v>
      </c>
      <c r="M18" s="82">
        <f>+D30</f>
        <v>0</v>
      </c>
    </row>
    <row r="19" spans="1:13" x14ac:dyDescent="0.15">
      <c r="A19" s="327" t="s">
        <v>3</v>
      </c>
      <c r="B19" s="327"/>
      <c r="C19" s="327"/>
      <c r="D19" s="356">
        <f>ROUNDDOWN(D5+SUM(D6:E17)/12,0)</f>
        <v>88000</v>
      </c>
      <c r="E19" s="356"/>
      <c r="F19" t="s">
        <v>30</v>
      </c>
      <c r="G19" s="4" t="s">
        <v>44</v>
      </c>
      <c r="K19" s="44" t="s">
        <v>74</v>
      </c>
      <c r="L19" s="46">
        <f>+D25+D19</f>
        <v>88000</v>
      </c>
      <c r="M19" s="46">
        <f>+D30+D19</f>
        <v>88000</v>
      </c>
    </row>
    <row r="20" spans="1:13" ht="14.25" thickBot="1" x14ac:dyDescent="0.2">
      <c r="G20" s="9" t="str">
        <f>IF(AND(D19+D25&gt;280000,D25&lt;=280000,D19&lt;=470000),"該当","")</f>
        <v/>
      </c>
      <c r="H20" s="18" t="s">
        <v>46</v>
      </c>
      <c r="I20" s="24" t="str">
        <f>IF(G20="該当",IF(((D19+D25-280000)/2)&gt;D25,D25,ROUNDDOWN(((D19+D25-280000)/2),0)),"")</f>
        <v/>
      </c>
      <c r="K20" s="44" t="s">
        <v>76</v>
      </c>
      <c r="L20" s="46">
        <v>480000</v>
      </c>
      <c r="M20" s="46">
        <v>480000</v>
      </c>
    </row>
    <row r="21" spans="1:13" x14ac:dyDescent="0.15">
      <c r="A21" s="324" t="s">
        <v>4</v>
      </c>
      <c r="B21" s="320" t="s">
        <v>26</v>
      </c>
      <c r="C21" s="321"/>
      <c r="D21" s="333">
        <f>+算定シート2!D9</f>
        <v>0</v>
      </c>
      <c r="E21" s="334"/>
      <c r="F21" t="s">
        <v>13</v>
      </c>
      <c r="G21" s="9" t="str">
        <f>IF(AND(D19+D25&gt;280000,D25&lt;=280000,470000&lt;D19),"該当","")</f>
        <v/>
      </c>
      <c r="H21" s="10" t="s">
        <v>47</v>
      </c>
      <c r="I21" s="24" t="str">
        <f>IF(G21="該当",IF(((470000+D25-280000)/2+(D19-470000))&gt;D25,D25,ROUNDDOWN((470000+D25-280000)/2+(D19-470000),0)),"")</f>
        <v/>
      </c>
      <c r="K21" s="44" t="s">
        <v>77</v>
      </c>
      <c r="L21" s="46">
        <f>+(L19-L20)/2</f>
        <v>-196000</v>
      </c>
      <c r="M21" s="46">
        <f>+(M19-M20)/2</f>
        <v>-196000</v>
      </c>
    </row>
    <row r="22" spans="1:13" x14ac:dyDescent="0.15">
      <c r="A22" s="325"/>
      <c r="B22" s="320" t="s">
        <v>27</v>
      </c>
      <c r="C22" s="321"/>
      <c r="D22" s="350">
        <f>+算定シート2!G9</f>
        <v>0</v>
      </c>
      <c r="E22" s="351"/>
      <c r="F22" t="s">
        <v>28</v>
      </c>
      <c r="G22" s="9" t="str">
        <f>IF(AND(D19+D25&gt;280000,280000&lt;D25,D19&lt;=470000),"該当","")</f>
        <v/>
      </c>
      <c r="H22" s="10" t="s">
        <v>48</v>
      </c>
      <c r="I22" s="24" t="str">
        <f>IF(G22="該当",IF((D19/2)&gt;D25,D25,ROUNDDOWN((D19/2),0)),"")</f>
        <v/>
      </c>
      <c r="K22" s="44" t="s">
        <v>79</v>
      </c>
      <c r="L22" s="46">
        <f>IF(L21&lt;0,0,L21)</f>
        <v>0</v>
      </c>
      <c r="M22" s="46">
        <f>IF(M21&lt;0,0,M21)</f>
        <v>0</v>
      </c>
    </row>
    <row r="23" spans="1:13" x14ac:dyDescent="0.15">
      <c r="A23" s="325"/>
      <c r="B23" s="320" t="s">
        <v>25</v>
      </c>
      <c r="C23" s="321"/>
      <c r="D23" s="350">
        <f>+算定シート2!E9</f>
        <v>0</v>
      </c>
      <c r="E23" s="351"/>
      <c r="F23" t="s">
        <v>29</v>
      </c>
      <c r="G23" s="9" t="str">
        <f>IF(AND(D19+D25&gt;280000,280000&lt;D25,470000&lt;D19),"該当","")</f>
        <v/>
      </c>
      <c r="H23" s="10" t="s">
        <v>49</v>
      </c>
      <c r="I23" s="24" t="str">
        <f>IF(G23="該当",IF(((470000/2)+(D19-470000))&gt;D25,D25,ROUNDDOWN(((470000/2)+(D19-470000)),0)),"")</f>
        <v/>
      </c>
      <c r="K23" s="44" t="s">
        <v>78</v>
      </c>
      <c r="L23" s="46">
        <f>IF(L22&gt;L18,L18,L22)</f>
        <v>0</v>
      </c>
      <c r="M23" s="46">
        <f>IF(M22&gt;M18,M18,M22)</f>
        <v>0</v>
      </c>
    </row>
    <row r="24" spans="1:13" ht="14.25" thickBot="1" x14ac:dyDescent="0.2">
      <c r="A24" s="325"/>
      <c r="B24" s="320" t="s">
        <v>6</v>
      </c>
      <c r="C24" s="321"/>
      <c r="D24" s="348">
        <f>+算定シート2!F9</f>
        <v>0</v>
      </c>
      <c r="E24" s="349"/>
      <c r="F24" t="s">
        <v>53</v>
      </c>
      <c r="G24" s="4"/>
      <c r="K24" s="45" t="s">
        <v>18</v>
      </c>
      <c r="L24" s="46">
        <f>+L18-L23</f>
        <v>0</v>
      </c>
      <c r="M24" s="46">
        <f>+M18-M23</f>
        <v>0</v>
      </c>
    </row>
    <row r="25" spans="1:13" x14ac:dyDescent="0.15">
      <c r="A25" s="325"/>
      <c r="B25" s="320" t="s">
        <v>9</v>
      </c>
      <c r="C25" s="327"/>
      <c r="D25" s="328">
        <f>ROUND((D21-D22-D23-D24)/12,2)</f>
        <v>0</v>
      </c>
      <c r="E25" s="328"/>
      <c r="F25" t="s">
        <v>31</v>
      </c>
      <c r="G25" s="15"/>
      <c r="H25" s="16"/>
      <c r="I25" s="11"/>
    </row>
    <row r="26" spans="1:13" x14ac:dyDescent="0.15">
      <c r="A26" s="326"/>
      <c r="B26" s="329" t="s">
        <v>7</v>
      </c>
      <c r="C26" s="330"/>
      <c r="D26" s="331">
        <f>IF(D3="共済加入中",SUM(I20:I23),IF(D19+D25&gt;480000,IF(((D19+D25-480000)/2)&gt;D25,D25,(D19+D25-480000)/2),0))</f>
        <v>0</v>
      </c>
      <c r="E26" s="331"/>
      <c r="F26" t="str">
        <f>IF(D3="民間在職中","⑨ ((③+⑧-48万)/2)","⑨")</f>
        <v>⑨ ((③+⑧-48万)/2)</v>
      </c>
      <c r="G26" s="15"/>
      <c r="H26" s="17"/>
      <c r="I26" s="11"/>
    </row>
    <row r="27" spans="1:13" ht="14.25" thickBot="1" x14ac:dyDescent="0.2">
      <c r="G27" s="15"/>
      <c r="H27" s="17"/>
      <c r="I27" s="11"/>
    </row>
    <row r="28" spans="1:13" x14ac:dyDescent="0.15">
      <c r="A28" s="324" t="s">
        <v>8</v>
      </c>
      <c r="B28" s="329" t="s">
        <v>50</v>
      </c>
      <c r="C28" s="332"/>
      <c r="D28" s="333">
        <f>+算定シート2!D12</f>
        <v>0</v>
      </c>
      <c r="E28" s="334"/>
      <c r="F28" t="s">
        <v>32</v>
      </c>
      <c r="G28" s="15"/>
      <c r="H28" s="17"/>
      <c r="I28" s="11"/>
    </row>
    <row r="29" spans="1:13" ht="14.25" thickBot="1" x14ac:dyDescent="0.2">
      <c r="A29" s="325"/>
      <c r="B29" s="320" t="s">
        <v>25</v>
      </c>
      <c r="C29" s="321"/>
      <c r="D29" s="322"/>
      <c r="E29" s="323"/>
      <c r="F29" t="s">
        <v>96</v>
      </c>
      <c r="G29" s="15"/>
      <c r="H29" s="17"/>
      <c r="I29" s="11"/>
      <c r="J29" s="8"/>
    </row>
    <row r="30" spans="1:13" x14ac:dyDescent="0.15">
      <c r="A30" s="325"/>
      <c r="B30" s="320" t="s">
        <v>9</v>
      </c>
      <c r="C30" s="327"/>
      <c r="D30" s="328">
        <f>ROUND((D28-D29)/12,2)</f>
        <v>0</v>
      </c>
      <c r="E30" s="328"/>
      <c r="F30" t="s">
        <v>33</v>
      </c>
      <c r="G30" s="6"/>
      <c r="H30" s="10"/>
      <c r="I30" s="11"/>
      <c r="J30" s="8"/>
    </row>
    <row r="31" spans="1:13" x14ac:dyDescent="0.15">
      <c r="A31" s="326"/>
      <c r="B31" s="329" t="s">
        <v>7</v>
      </c>
      <c r="C31" s="330"/>
      <c r="D31" s="331">
        <f>IF(D3="共済加入中",0,IF(D19+D30&gt;480000,IF(((D19+D30-480000)/2)&gt;D30,D30,(D19+D30-480000)/2),0))</f>
        <v>0</v>
      </c>
      <c r="E31" s="331"/>
      <c r="F31" t="str">
        <f>IF(D3="民間在職中","⑬ ((③+⑫-48万)/2)","⑬")</f>
        <v>⑬ ((③+⑫-48万)/2)</v>
      </c>
      <c r="G31" s="6"/>
      <c r="H31" s="10"/>
      <c r="I31" s="11"/>
      <c r="J31" s="8"/>
    </row>
    <row r="32" spans="1:13" x14ac:dyDescent="0.15">
      <c r="A32" s="5"/>
      <c r="B32" s="6"/>
      <c r="C32" s="6"/>
      <c r="D32" s="7"/>
      <c r="E32" s="7"/>
    </row>
    <row r="33" spans="1:9" x14ac:dyDescent="0.15">
      <c r="A33" s="5"/>
      <c r="B33" s="6"/>
      <c r="C33" s="6"/>
      <c r="D33" s="7"/>
      <c r="E33" s="7"/>
    </row>
    <row r="34" spans="1:9" x14ac:dyDescent="0.15">
      <c r="A34" t="s">
        <v>24</v>
      </c>
    </row>
    <row r="35" spans="1:9" x14ac:dyDescent="0.15">
      <c r="G35" s="4"/>
    </row>
    <row r="36" spans="1:9" x14ac:dyDescent="0.15">
      <c r="A36" t="s">
        <v>23</v>
      </c>
      <c r="G36" s="9"/>
      <c r="H36" s="16"/>
      <c r="I36" s="11"/>
    </row>
    <row r="37" spans="1:9" x14ac:dyDescent="0.15">
      <c r="G37" s="9"/>
      <c r="H37" s="17"/>
      <c r="I37" s="11"/>
    </row>
    <row r="38" spans="1:9" x14ac:dyDescent="0.15">
      <c r="A38" s="23" t="s">
        <v>4</v>
      </c>
      <c r="B38" s="327" t="s">
        <v>5</v>
      </c>
      <c r="C38" s="327"/>
      <c r="D38" s="343">
        <f>D21-D22-D23-D24</f>
        <v>0</v>
      </c>
      <c r="E38" s="344"/>
      <c r="F38" t="s">
        <v>34</v>
      </c>
      <c r="G38" s="9"/>
      <c r="H38" s="17"/>
      <c r="I38" s="11"/>
    </row>
    <row r="39" spans="1:9" x14ac:dyDescent="0.15">
      <c r="A39" s="23" t="s">
        <v>8</v>
      </c>
      <c r="B39" s="327" t="s">
        <v>15</v>
      </c>
      <c r="C39" s="327"/>
      <c r="D39" s="343">
        <f>D28</f>
        <v>0</v>
      </c>
      <c r="E39" s="344"/>
      <c r="F39" t="s">
        <v>32</v>
      </c>
      <c r="G39" s="9"/>
      <c r="H39" s="17"/>
      <c r="I39" s="11"/>
    </row>
    <row r="40" spans="1:9" x14ac:dyDescent="0.15">
      <c r="A40" s="327" t="s">
        <v>10</v>
      </c>
      <c r="B40" s="327" t="s">
        <v>9</v>
      </c>
      <c r="C40" s="327"/>
      <c r="D40" s="342">
        <f>SUM(D38:E39)/12</f>
        <v>0</v>
      </c>
      <c r="E40" s="342"/>
      <c r="F40" t="s">
        <v>35</v>
      </c>
      <c r="G40" s="9"/>
      <c r="H40" s="10"/>
      <c r="I40" s="11"/>
    </row>
    <row r="41" spans="1:9" x14ac:dyDescent="0.15">
      <c r="A41" s="327"/>
      <c r="B41" s="327" t="s">
        <v>14</v>
      </c>
      <c r="C41" s="327"/>
      <c r="D41" s="342">
        <f>IF(D19+D40&gt;480000,IF(((D19+D40-480000)/2)&gt;D40,D40,(D19+D40-480000)/2),0)</f>
        <v>0</v>
      </c>
      <c r="E41" s="342"/>
      <c r="F41" t="s">
        <v>254</v>
      </c>
    </row>
    <row r="42" spans="1:9" x14ac:dyDescent="0.15">
      <c r="B42" s="5"/>
      <c r="C42" s="5"/>
      <c r="D42" s="8"/>
    </row>
    <row r="43" spans="1:9" x14ac:dyDescent="0.15">
      <c r="A43" s="14" t="s">
        <v>4</v>
      </c>
      <c r="B43" s="327" t="s">
        <v>14</v>
      </c>
      <c r="C43" s="327"/>
      <c r="D43" s="342" t="e">
        <f>D41*D25/(D25+D30)</f>
        <v>#DIV/0!</v>
      </c>
      <c r="E43" s="342"/>
      <c r="F43" t="s">
        <v>36</v>
      </c>
    </row>
    <row r="44" spans="1:9" x14ac:dyDescent="0.15">
      <c r="A44" s="14" t="s">
        <v>8</v>
      </c>
      <c r="B44" s="327" t="s">
        <v>14</v>
      </c>
      <c r="C44" s="327"/>
      <c r="D44" s="342" t="e">
        <f>D41*D30/(D25+D30)</f>
        <v>#DIV/0!</v>
      </c>
      <c r="E44" s="342"/>
      <c r="F44" t="s">
        <v>37</v>
      </c>
    </row>
    <row r="45" spans="1:9" x14ac:dyDescent="0.15">
      <c r="G45" s="293"/>
      <c r="H45" s="293"/>
      <c r="I45" s="293"/>
    </row>
    <row r="46" spans="1:9" x14ac:dyDescent="0.15">
      <c r="A46" t="s">
        <v>16</v>
      </c>
    </row>
    <row r="47" spans="1:9" x14ac:dyDescent="0.15">
      <c r="A47" s="270" t="s">
        <v>45</v>
      </c>
      <c r="B47" s="270"/>
      <c r="C47" s="270"/>
      <c r="D47" s="347">
        <f>(D19+D40-D26-D31)/10+D26+D31</f>
        <v>8800</v>
      </c>
      <c r="E47" s="347"/>
      <c r="F47" t="s">
        <v>38</v>
      </c>
      <c r="G47" t="str">
        <f>IF(D41&gt;D47,"⑮＞⑱　10％配慮措置該当","⑮＜⑱　10％配慮措置対象外")</f>
        <v>⑮＜⑱　10％配慮措置対象外</v>
      </c>
    </row>
    <row r="49" spans="1:8" x14ac:dyDescent="0.15">
      <c r="A49" s="14" t="s">
        <v>4</v>
      </c>
      <c r="B49" s="327" t="s">
        <v>14</v>
      </c>
      <c r="C49" s="327"/>
      <c r="D49" s="345" t="str">
        <f>IF(G47="⑮＞⑱　10％配慮措置該当",D47*D25/(D25+D40),"-")</f>
        <v>-</v>
      </c>
      <c r="E49" s="346"/>
      <c r="F49" t="s">
        <v>39</v>
      </c>
    </row>
    <row r="50" spans="1:8" x14ac:dyDescent="0.15">
      <c r="A50" s="14" t="s">
        <v>8</v>
      </c>
      <c r="B50" s="327" t="s">
        <v>14</v>
      </c>
      <c r="C50" s="327"/>
      <c r="D50" s="345" t="str">
        <f>IF(G47="⑮＞⑱　10％配慮措置該当",D47*D40/(D25+D40),"-")</f>
        <v>-</v>
      </c>
      <c r="E50" s="346"/>
      <c r="F50" t="s">
        <v>40</v>
      </c>
    </row>
    <row r="52" spans="1:8" x14ac:dyDescent="0.15">
      <c r="A52" t="s">
        <v>17</v>
      </c>
    </row>
    <row r="54" spans="1:8" x14ac:dyDescent="0.15">
      <c r="A54" s="335" t="s">
        <v>4</v>
      </c>
      <c r="B54" s="337" t="s">
        <v>14</v>
      </c>
      <c r="C54" s="337"/>
      <c r="D54" s="338" t="e">
        <f>IF(D3="民間在職中",ROUNDDOWN(MIN(D43,D49)*12,0),ROUNDDOWN(MIN(D43,D49)*12+D24,0))+IF(D38&lt;=ROUNDDOWN(MIN(D43,D49)*12,0),D22,0)</f>
        <v>#DIV/0!</v>
      </c>
      <c r="E54" s="339"/>
      <c r="F54" t="str">
        <f>IF(D3="民間在職中","A min(⑯,⑲)*12","A min(⑯,⑲)*12+⑦")</f>
        <v>A min(⑯,⑲)*12</v>
      </c>
      <c r="H54" s="13" t="e">
        <f>IF(MIN(D43,D49)=D49,"10%配慮措置該当","")</f>
        <v>#DIV/0!</v>
      </c>
    </row>
    <row r="55" spans="1:8" x14ac:dyDescent="0.15">
      <c r="A55" s="336"/>
      <c r="B55" s="337" t="s">
        <v>18</v>
      </c>
      <c r="C55" s="337"/>
      <c r="D55" s="338" t="e">
        <f>IF(D21&lt;D54,0,D21-D54)</f>
        <v>#DIV/0!</v>
      </c>
      <c r="E55" s="339"/>
      <c r="F55" t="s">
        <v>42</v>
      </c>
    </row>
    <row r="56" spans="1:8" x14ac:dyDescent="0.15">
      <c r="A56" s="335" t="s">
        <v>8</v>
      </c>
      <c r="B56" s="337" t="s">
        <v>14</v>
      </c>
      <c r="C56" s="337"/>
      <c r="D56" s="338" t="e">
        <f>ROUNDDOWN(MIN(D44,D50)*12,0)</f>
        <v>#DIV/0!</v>
      </c>
      <c r="E56" s="339"/>
      <c r="F56" t="s">
        <v>41</v>
      </c>
    </row>
    <row r="57" spans="1:8" x14ac:dyDescent="0.15">
      <c r="A57" s="336"/>
      <c r="B57" s="337" t="s">
        <v>18</v>
      </c>
      <c r="C57" s="337"/>
      <c r="D57" s="338" t="e">
        <f>IF((D28+D29)&lt;D56,0,D28+D29-D56)</f>
        <v>#DIV/0!</v>
      </c>
      <c r="E57" s="339"/>
      <c r="F57" t="s">
        <v>43</v>
      </c>
    </row>
  </sheetData>
  <mergeCells count="75">
    <mergeCell ref="D16:E16"/>
    <mergeCell ref="A1:I1"/>
    <mergeCell ref="A4:C4"/>
    <mergeCell ref="A5:C5"/>
    <mergeCell ref="D5:E5"/>
    <mergeCell ref="A6:A1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24:C24"/>
    <mergeCell ref="D24:E24"/>
    <mergeCell ref="B23:C23"/>
    <mergeCell ref="D17:E17"/>
    <mergeCell ref="B18:C18"/>
    <mergeCell ref="D18:E18"/>
    <mergeCell ref="A19:C19"/>
    <mergeCell ref="D19:E19"/>
    <mergeCell ref="D23:E23"/>
    <mergeCell ref="B21:C21"/>
    <mergeCell ref="D21:E21"/>
    <mergeCell ref="B22:C22"/>
    <mergeCell ref="A21:A26"/>
    <mergeCell ref="D22:E22"/>
    <mergeCell ref="A40:A41"/>
    <mergeCell ref="B40:C40"/>
    <mergeCell ref="D40:E40"/>
    <mergeCell ref="B41:C41"/>
    <mergeCell ref="D41:E41"/>
    <mergeCell ref="G45:I45"/>
    <mergeCell ref="B49:C49"/>
    <mergeCell ref="D49:E49"/>
    <mergeCell ref="B50:C50"/>
    <mergeCell ref="D50:E50"/>
    <mergeCell ref="A47:C47"/>
    <mergeCell ref="D47:E47"/>
    <mergeCell ref="A3:C3"/>
    <mergeCell ref="D3:E3"/>
    <mergeCell ref="A54:A55"/>
    <mergeCell ref="B54:C54"/>
    <mergeCell ref="D54:E54"/>
    <mergeCell ref="B55:C55"/>
    <mergeCell ref="D55:E55"/>
    <mergeCell ref="B43:C43"/>
    <mergeCell ref="D43:E43"/>
    <mergeCell ref="B44:C44"/>
    <mergeCell ref="D44:E44"/>
    <mergeCell ref="D31:E31"/>
    <mergeCell ref="B38:C38"/>
    <mergeCell ref="D38:E38"/>
    <mergeCell ref="B39:C39"/>
    <mergeCell ref="D39:E39"/>
    <mergeCell ref="A56:A57"/>
    <mergeCell ref="B56:C56"/>
    <mergeCell ref="D56:E56"/>
    <mergeCell ref="B57:C57"/>
    <mergeCell ref="D57:E57"/>
    <mergeCell ref="B29:C29"/>
    <mergeCell ref="D29:E29"/>
    <mergeCell ref="A28:A31"/>
    <mergeCell ref="B25:C25"/>
    <mergeCell ref="D25:E25"/>
    <mergeCell ref="B26:C26"/>
    <mergeCell ref="D26:E26"/>
    <mergeCell ref="B28:C28"/>
    <mergeCell ref="D28:E28"/>
    <mergeCell ref="B30:C30"/>
    <mergeCell ref="D30:E30"/>
    <mergeCell ref="B31:C31"/>
  </mergeCells>
  <phoneticPr fontId="2"/>
  <conditionalFormatting sqref="G19:I23">
    <cfRule type="expression" dxfId="3" priority="2">
      <formula>$D$3="民間在職中"</formula>
    </cfRule>
  </conditionalFormatting>
  <conditionalFormatting sqref="G20:I23">
    <cfRule type="expression" dxfId="2" priority="1">
      <formula>$D$3="共済加入中"</formula>
    </cfRule>
  </conditionalFormatting>
  <conditionalFormatting sqref="H54">
    <cfRule type="containsText" dxfId="1" priority="3" operator="containsText" text="35">
      <formula>NOT(ISERROR(SEARCH("35",H54)))</formula>
    </cfRule>
    <cfRule type="containsText" dxfId="0" priority="4" operator="containsText" text="10">
      <formula>NOT(ISERROR(SEARCH("10",H54)))</formula>
    </cfRule>
  </conditionalFormatting>
  <dataValidations count="1">
    <dataValidation type="whole" allowBlank="1" showInputMessage="1" showErrorMessage="1" sqref="D6:E17" xr:uid="{00000000-0002-0000-0200-000000000000}">
      <formula1>1000</formula1>
      <formula2>1500000</formula2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リスト!$B$2:$B$13</xm:f>
          </x14:formula1>
          <xm:sqref>E4</xm:sqref>
        </x14:dataValidation>
        <x14:dataValidation type="list" allowBlank="1" showInputMessage="1" showErrorMessage="1" xr:uid="{00000000-0002-0000-0200-000002000000}">
          <x14:formula1>
            <xm:f>リスト!$C$2:$C$32</xm:f>
          </x14:formula1>
          <xm:sqref>D5:E5</xm:sqref>
        </x14:dataValidation>
        <x14:dataValidation type="list" allowBlank="1" showInputMessage="1" showErrorMessage="1" xr:uid="{00000000-0002-0000-0200-000003000000}">
          <x14:formula1>
            <xm:f>リスト!$A$2:$A$3</xm:f>
          </x14:formula1>
          <xm:sqref>D4</xm:sqref>
        </x14:dataValidation>
        <x14:dataValidation type="list" allowBlank="1" showInputMessage="1" showErrorMessage="1" xr:uid="{00000000-0002-0000-0200-000004000000}">
          <x14:formula1>
            <xm:f>リスト!$D$2:$D$3</xm:f>
          </x14:formula1>
          <xm:sqref>D3:E3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0" tint="-0.499984740745262"/>
  </sheetPr>
  <dimension ref="B1:Q40"/>
  <sheetViews>
    <sheetView topLeftCell="B1" workbookViewId="0">
      <selection activeCell="AH32" sqref="AH32"/>
    </sheetView>
  </sheetViews>
  <sheetFormatPr defaultColWidth="9" defaultRowHeight="13.5" x14ac:dyDescent="0.15"/>
  <cols>
    <col min="1" max="1" width="2.75" style="33" customWidth="1"/>
    <col min="2" max="2" width="13.125" style="33" customWidth="1"/>
    <col min="3" max="3" width="10.375" style="33" bestFit="1" customWidth="1"/>
    <col min="4" max="12" width="10.625" style="33" customWidth="1"/>
    <col min="13" max="16384" width="9" style="33"/>
  </cols>
  <sheetData>
    <row r="1" spans="2:17" ht="18.75" x14ac:dyDescent="0.15">
      <c r="B1" s="121" t="s">
        <v>137</v>
      </c>
    </row>
    <row r="3" spans="2:17" x14ac:dyDescent="0.15">
      <c r="B3" s="32"/>
      <c r="C3" s="156" t="s">
        <v>99</v>
      </c>
    </row>
    <row r="4" spans="2:17" ht="14.25" thickBot="1" x14ac:dyDescent="0.2">
      <c r="B4" s="36" t="s">
        <v>113</v>
      </c>
      <c r="C4" s="90"/>
      <c r="O4" s="40" t="s">
        <v>70</v>
      </c>
    </row>
    <row r="5" spans="2:17" s="34" customFormat="1" x14ac:dyDescent="0.15">
      <c r="B5" s="41" t="s">
        <v>112</v>
      </c>
      <c r="C5" s="73" t="s">
        <v>94</v>
      </c>
      <c r="D5" s="142" t="s">
        <v>1</v>
      </c>
      <c r="E5" s="143" t="s">
        <v>58</v>
      </c>
      <c r="F5" s="144" t="s">
        <v>62</v>
      </c>
      <c r="G5" s="144" t="s">
        <v>62</v>
      </c>
      <c r="H5" s="144" t="s">
        <v>62</v>
      </c>
      <c r="I5" s="144" t="s">
        <v>62</v>
      </c>
      <c r="J5" s="144" t="s">
        <v>62</v>
      </c>
      <c r="K5" s="144" t="s">
        <v>62</v>
      </c>
      <c r="L5" s="145" t="s">
        <v>62</v>
      </c>
    </row>
    <row r="6" spans="2:17" ht="14.25" thickBot="1" x14ac:dyDescent="0.2">
      <c r="B6" s="91">
        <f>+P6</f>
        <v>88000</v>
      </c>
      <c r="C6" s="154" t="s">
        <v>95</v>
      </c>
      <c r="D6" s="152">
        <f>+入力シート!D6</f>
        <v>88000</v>
      </c>
      <c r="E6" s="146">
        <f>+入力シート!E6</f>
        <v>0</v>
      </c>
      <c r="F6" s="146">
        <f>+入力シート!F6</f>
        <v>0</v>
      </c>
      <c r="G6" s="146">
        <f>+入力シート!G6</f>
        <v>0</v>
      </c>
      <c r="H6" s="146">
        <f>+入力シート!H6</f>
        <v>0</v>
      </c>
      <c r="I6" s="146">
        <f>+入力シート!I6</f>
        <v>0</v>
      </c>
      <c r="J6" s="146">
        <f>+入力シート!J6</f>
        <v>0</v>
      </c>
      <c r="K6" s="146">
        <f>+入力シート!K6</f>
        <v>0</v>
      </c>
      <c r="L6" s="147">
        <f>+入力シート!L6</f>
        <v>0</v>
      </c>
      <c r="N6" s="68">
        <f>SUM(E6:L6)</f>
        <v>0</v>
      </c>
      <c r="O6" s="68">
        <f>+N6/12</f>
        <v>0</v>
      </c>
      <c r="P6" s="68">
        <f>+D6+O6</f>
        <v>88000</v>
      </c>
      <c r="Q6" s="38"/>
    </row>
    <row r="7" spans="2:17" ht="14.25" thickBot="1" x14ac:dyDescent="0.2">
      <c r="B7" s="92"/>
      <c r="C7" s="157"/>
      <c r="E7" s="33" t="s">
        <v>63</v>
      </c>
      <c r="N7" s="38"/>
      <c r="O7" s="38"/>
      <c r="P7" s="38"/>
      <c r="Q7" s="38"/>
    </row>
    <row r="8" spans="2:17" ht="14.25" thickTop="1" x14ac:dyDescent="0.15">
      <c r="B8" s="41" t="s">
        <v>112</v>
      </c>
      <c r="C8" s="73" t="s">
        <v>72</v>
      </c>
      <c r="D8" s="148" t="s">
        <v>59</v>
      </c>
      <c r="E8" s="160" t="s">
        <v>93</v>
      </c>
      <c r="F8" s="160" t="s">
        <v>60</v>
      </c>
      <c r="G8" s="158" t="s">
        <v>27</v>
      </c>
      <c r="H8" s="139" t="s">
        <v>61</v>
      </c>
      <c r="J8" s="136" t="s">
        <v>102</v>
      </c>
      <c r="K8" s="33" t="s">
        <v>108</v>
      </c>
      <c r="N8" s="38"/>
      <c r="O8" s="38"/>
      <c r="P8" s="38"/>
      <c r="Q8" s="38"/>
    </row>
    <row r="9" spans="2:17" ht="14.25" thickBot="1" x14ac:dyDescent="0.2">
      <c r="B9" s="91">
        <f>+O12</f>
        <v>0</v>
      </c>
      <c r="C9" s="154" t="s">
        <v>92</v>
      </c>
      <c r="D9" s="149">
        <f>+入力シート!D9</f>
        <v>0</v>
      </c>
      <c r="E9" s="161">
        <f>+入力シート!E9</f>
        <v>0</v>
      </c>
      <c r="F9" s="161">
        <f>+入力シート!G9</f>
        <v>0</v>
      </c>
      <c r="G9" s="159">
        <f>+入力シート!F9</f>
        <v>0</v>
      </c>
      <c r="H9" s="140">
        <f>+D9-E9-F9-G9</f>
        <v>0</v>
      </c>
      <c r="J9" s="137">
        <f>+入力シート!I26</f>
        <v>0</v>
      </c>
      <c r="K9" s="33" t="s">
        <v>101</v>
      </c>
      <c r="N9" s="38"/>
      <c r="O9" s="68">
        <f>+D12/12</f>
        <v>0</v>
      </c>
      <c r="P9" s="69" t="e">
        <f>+O9/Q10</f>
        <v>#DIV/0!</v>
      </c>
      <c r="Q9" s="38"/>
    </row>
    <row r="10" spans="2:17" ht="14.25" thickBot="1" x14ac:dyDescent="0.2">
      <c r="B10" s="92"/>
      <c r="C10" s="157"/>
      <c r="K10" s="33" t="s">
        <v>100</v>
      </c>
      <c r="N10" s="38"/>
      <c r="O10" s="38"/>
      <c r="P10" s="38"/>
      <c r="Q10" s="313">
        <f>+O9+O12</f>
        <v>0</v>
      </c>
    </row>
    <row r="11" spans="2:17" s="34" customFormat="1" x14ac:dyDescent="0.15">
      <c r="B11" s="41" t="s">
        <v>112</v>
      </c>
      <c r="C11" s="73" t="s">
        <v>91</v>
      </c>
      <c r="D11" s="150" t="s">
        <v>61</v>
      </c>
      <c r="E11" s="74"/>
      <c r="K11" s="33" t="s">
        <v>110</v>
      </c>
      <c r="N11" s="35"/>
      <c r="O11" s="35"/>
      <c r="P11" s="35"/>
      <c r="Q11" s="314"/>
    </row>
    <row r="12" spans="2:17" ht="14.25" thickBot="1" x14ac:dyDescent="0.2">
      <c r="B12" s="91">
        <f>+O9</f>
        <v>0</v>
      </c>
      <c r="C12" s="154" t="s">
        <v>90</v>
      </c>
      <c r="D12" s="151">
        <f>+入力シート!D15</f>
        <v>0</v>
      </c>
      <c r="E12" s="75"/>
      <c r="N12" s="68">
        <f>+D9-E9-F9-G9</f>
        <v>0</v>
      </c>
      <c r="O12" s="68">
        <f>+N12/12</f>
        <v>0</v>
      </c>
      <c r="P12" s="69" t="e">
        <f>+O12/Q10</f>
        <v>#DIV/0!</v>
      </c>
      <c r="Q12" s="38"/>
    </row>
    <row r="13" spans="2:17" x14ac:dyDescent="0.15">
      <c r="C13" s="33" t="s">
        <v>111</v>
      </c>
      <c r="D13" s="33" t="s">
        <v>111</v>
      </c>
      <c r="I13" s="109" t="s">
        <v>113</v>
      </c>
      <c r="J13" s="87" t="s">
        <v>105</v>
      </c>
      <c r="K13" s="86" t="s">
        <v>106</v>
      </c>
      <c r="L13" s="85" t="s">
        <v>107</v>
      </c>
    </row>
    <row r="14" spans="2:17" x14ac:dyDescent="0.15">
      <c r="B14" s="98">
        <f>+B6+B12+B9</f>
        <v>88000</v>
      </c>
      <c r="C14" s="99" t="s">
        <v>116</v>
      </c>
      <c r="I14" s="109" t="s">
        <v>104</v>
      </c>
      <c r="J14" s="88">
        <f>+算定シート1!L23</f>
        <v>0</v>
      </c>
      <c r="K14" s="84">
        <f>+算定シート1!L23</f>
        <v>0</v>
      </c>
      <c r="L14" s="104">
        <v>0</v>
      </c>
    </row>
    <row r="15" spans="2:17" x14ac:dyDescent="0.15">
      <c r="I15" s="109" t="s">
        <v>103</v>
      </c>
      <c r="J15" s="89">
        <f>+算定シート1!M23</f>
        <v>0</v>
      </c>
      <c r="K15" s="106">
        <f>+算定シート1!N23</f>
        <v>0</v>
      </c>
      <c r="L15" s="105">
        <v>0</v>
      </c>
    </row>
    <row r="16" spans="2:17" x14ac:dyDescent="0.15">
      <c r="I16" s="65"/>
      <c r="J16" s="93"/>
      <c r="K16" s="94"/>
      <c r="L16" s="48"/>
    </row>
    <row r="17" spans="2:16" x14ac:dyDescent="0.15">
      <c r="C17" s="156" t="s">
        <v>98</v>
      </c>
    </row>
    <row r="18" spans="2:16" x14ac:dyDescent="0.15">
      <c r="B18" s="33" t="s">
        <v>63</v>
      </c>
      <c r="C18" s="365" t="s">
        <v>87</v>
      </c>
      <c r="D18" s="95" t="s">
        <v>114</v>
      </c>
      <c r="E18" s="95" t="s">
        <v>118</v>
      </c>
      <c r="F18" s="95" t="s">
        <v>117</v>
      </c>
      <c r="G18" s="103" t="s">
        <v>119</v>
      </c>
      <c r="H18" s="48"/>
    </row>
    <row r="19" spans="2:16" ht="14.25" thickBot="1" x14ac:dyDescent="0.2">
      <c r="B19" s="33" t="s">
        <v>63</v>
      </c>
      <c r="C19" s="366"/>
      <c r="D19" s="81">
        <f>+E19+F19</f>
        <v>0</v>
      </c>
      <c r="E19" s="83">
        <f>IF($J9=0,$J15,(IF($J9=1,$K15,$L15)))</f>
        <v>0</v>
      </c>
      <c r="F19" s="83">
        <f>IF($J9=0,$J14,(IF($J9=1,$K14,$L14)))</f>
        <v>0</v>
      </c>
      <c r="G19" s="103">
        <f>+F19*12</f>
        <v>0</v>
      </c>
      <c r="H19" s="48"/>
    </row>
    <row r="20" spans="2:16" ht="14.25" thickBot="1" x14ac:dyDescent="0.2">
      <c r="C20" s="47"/>
      <c r="D20" s="47"/>
      <c r="E20" s="47"/>
      <c r="F20" s="47"/>
      <c r="G20" s="100"/>
      <c r="H20" s="48"/>
    </row>
    <row r="21" spans="2:16" ht="14.25" thickTop="1" x14ac:dyDescent="0.15">
      <c r="B21" s="70"/>
      <c r="C21" s="367" t="s">
        <v>88</v>
      </c>
      <c r="D21" s="54" t="s">
        <v>115</v>
      </c>
      <c r="E21" s="96" t="s">
        <v>118</v>
      </c>
      <c r="F21" s="96" t="s">
        <v>117</v>
      </c>
      <c r="G21" s="103" t="s">
        <v>119</v>
      </c>
      <c r="H21" s="52" t="s">
        <v>97</v>
      </c>
      <c r="I21" s="52" t="s">
        <v>84</v>
      </c>
      <c r="J21" s="52" t="s">
        <v>85</v>
      </c>
      <c r="K21" s="65" t="s">
        <v>85</v>
      </c>
      <c r="L21" s="65" t="s">
        <v>85</v>
      </c>
      <c r="M21" s="65" t="s">
        <v>85</v>
      </c>
      <c r="N21" s="62" t="s">
        <v>65</v>
      </c>
      <c r="O21" s="52" t="s">
        <v>75</v>
      </c>
      <c r="P21" s="60" t="s">
        <v>18</v>
      </c>
    </row>
    <row r="22" spans="2:16" x14ac:dyDescent="0.15">
      <c r="B22" s="71" t="str">
        <f>IF(D22&lt;D25,"←適用→","")</f>
        <v>←適用→</v>
      </c>
      <c r="C22" s="368"/>
      <c r="D22" s="55">
        <f>+D34</f>
        <v>0</v>
      </c>
      <c r="E22" s="56" t="e">
        <f>+D22*P9</f>
        <v>#DIV/0!</v>
      </c>
      <c r="F22" s="56" t="e">
        <f>+D22*P12</f>
        <v>#DIV/0!</v>
      </c>
      <c r="G22" s="103" t="e">
        <f>+F22*12</f>
        <v>#DIV/0!</v>
      </c>
      <c r="H22" s="52" t="s">
        <v>97</v>
      </c>
      <c r="I22" s="50">
        <f>+Q10+B6</f>
        <v>88000</v>
      </c>
      <c r="J22" s="52" t="s">
        <v>85</v>
      </c>
      <c r="K22" s="65" t="s">
        <v>85</v>
      </c>
      <c r="L22" s="65" t="s">
        <v>85</v>
      </c>
      <c r="M22" s="65" t="s">
        <v>85</v>
      </c>
      <c r="N22" s="63">
        <f>+D22</f>
        <v>0</v>
      </c>
      <c r="O22" s="50">
        <f>+Q10</f>
        <v>0</v>
      </c>
      <c r="P22" s="61">
        <f>+O22-N22</f>
        <v>0</v>
      </c>
    </row>
    <row r="23" spans="2:16" x14ac:dyDescent="0.15">
      <c r="B23" s="72"/>
      <c r="C23" s="57"/>
      <c r="D23" s="58"/>
      <c r="E23" s="58"/>
      <c r="F23" s="58"/>
      <c r="G23" s="100"/>
      <c r="H23" s="50"/>
      <c r="J23" s="48"/>
      <c r="K23" s="48"/>
      <c r="L23" s="48"/>
      <c r="M23" s="48"/>
    </row>
    <row r="24" spans="2:16" x14ac:dyDescent="0.15">
      <c r="B24" s="72"/>
      <c r="C24" s="369" t="s">
        <v>89</v>
      </c>
      <c r="D24" s="59" t="s">
        <v>115</v>
      </c>
      <c r="E24" s="97" t="s">
        <v>118</v>
      </c>
      <c r="F24" s="97" t="s">
        <v>117</v>
      </c>
      <c r="G24" s="103" t="s">
        <v>119</v>
      </c>
      <c r="H24" s="101" t="s">
        <v>86</v>
      </c>
      <c r="I24" s="49" t="s">
        <v>80</v>
      </c>
      <c r="J24" s="50" t="s">
        <v>69</v>
      </c>
      <c r="K24" s="53" t="s">
        <v>82</v>
      </c>
      <c r="L24" s="53" t="s">
        <v>82</v>
      </c>
      <c r="M24" s="53" t="s">
        <v>81</v>
      </c>
      <c r="N24" s="67" t="s">
        <v>83</v>
      </c>
      <c r="O24" s="52" t="s">
        <v>75</v>
      </c>
      <c r="P24" s="60" t="s">
        <v>18</v>
      </c>
    </row>
    <row r="25" spans="2:16" ht="14.25" thickBot="1" x14ac:dyDescent="0.2">
      <c r="B25" s="71" t="str">
        <f>IF(D25&lt;D22,"←適用→","")</f>
        <v/>
      </c>
      <c r="C25" s="370"/>
      <c r="D25" s="76">
        <f>+D37</f>
        <v>8800</v>
      </c>
      <c r="E25" s="77" t="e">
        <f>+D25*P9</f>
        <v>#DIV/0!</v>
      </c>
      <c r="F25" s="77" t="e">
        <f>+D25*P12</f>
        <v>#DIV/0!</v>
      </c>
      <c r="G25" s="103" t="e">
        <f>+F25*12</f>
        <v>#DIV/0!</v>
      </c>
      <c r="H25" s="102">
        <f>+E19+F19</f>
        <v>0</v>
      </c>
      <c r="I25" s="50">
        <f>+B$6+B$12+B$9-H25</f>
        <v>88000</v>
      </c>
      <c r="J25" s="66">
        <f>+$I$25*0.1</f>
        <v>8800</v>
      </c>
      <c r="K25" s="64">
        <f>ROUNDDOWN(J25,0)</f>
        <v>8800</v>
      </c>
      <c r="L25" s="51">
        <f>IF(K25&lt;0,0,K25)</f>
        <v>8800</v>
      </c>
      <c r="M25" s="51">
        <f>IF(L25&gt;Q10-H25,Q10-H25,L25)</f>
        <v>0</v>
      </c>
      <c r="N25" s="61">
        <f>+H25+K25</f>
        <v>8800</v>
      </c>
      <c r="O25" s="50">
        <f>+Q10</f>
        <v>0</v>
      </c>
      <c r="P25" s="61">
        <f>+O25-N25</f>
        <v>-8800</v>
      </c>
    </row>
    <row r="26" spans="2:16" ht="14.25" thickTop="1" x14ac:dyDescent="0.15">
      <c r="B26" s="80"/>
      <c r="C26" s="78"/>
      <c r="D26" s="79"/>
      <c r="E26" s="79"/>
      <c r="F26" s="79"/>
      <c r="H26" s="34"/>
      <c r="J26" s="48"/>
      <c r="K26" s="48"/>
      <c r="L26" s="48"/>
      <c r="M26" s="48"/>
    </row>
    <row r="27" spans="2:16" x14ac:dyDescent="0.15">
      <c r="C27" s="371" t="s">
        <v>109</v>
      </c>
      <c r="D27" s="107" t="s">
        <v>120</v>
      </c>
      <c r="E27" s="107" t="s">
        <v>121</v>
      </c>
      <c r="F27" s="51"/>
      <c r="G27" s="53"/>
      <c r="H27" s="34"/>
      <c r="J27" s="48"/>
      <c r="K27" s="48"/>
      <c r="L27" s="48"/>
      <c r="M27" s="48"/>
    </row>
    <row r="28" spans="2:16" x14ac:dyDescent="0.15">
      <c r="C28" s="372"/>
      <c r="D28" s="108" t="e">
        <f>+D12-E28</f>
        <v>#DIV/0!</v>
      </c>
      <c r="E28" s="108" t="e">
        <f>VLOOKUP("←適用→",B18:G25,6,0)</f>
        <v>#DIV/0!</v>
      </c>
      <c r="F28" s="51"/>
      <c r="G28" s="53"/>
      <c r="H28" s="34"/>
      <c r="J28" s="48"/>
      <c r="K28" s="48"/>
      <c r="L28" s="48"/>
      <c r="M28" s="48"/>
    </row>
    <row r="31" spans="2:16" x14ac:dyDescent="0.15">
      <c r="C31" s="39" t="s">
        <v>71</v>
      </c>
    </row>
    <row r="33" spans="3:6" x14ac:dyDescent="0.15">
      <c r="C33" s="363" t="s">
        <v>64</v>
      </c>
      <c r="D33" s="43" t="s">
        <v>65</v>
      </c>
      <c r="E33" s="43" t="s">
        <v>66</v>
      </c>
      <c r="F33" s="43" t="s">
        <v>67</v>
      </c>
    </row>
    <row r="34" spans="3:6" x14ac:dyDescent="0.15">
      <c r="C34" s="364"/>
      <c r="D34" s="42">
        <f>+算定シート1!D41</f>
        <v>0</v>
      </c>
      <c r="E34" s="42" t="e">
        <f>+算定シート1!D44</f>
        <v>#DIV/0!</v>
      </c>
      <c r="F34" s="42" t="e">
        <f>+算定シート1!D43</f>
        <v>#DIV/0!</v>
      </c>
    </row>
    <row r="35" spans="3:6" x14ac:dyDescent="0.15">
      <c r="C35" s="38"/>
    </row>
    <row r="36" spans="3:6" x14ac:dyDescent="0.15">
      <c r="C36" s="363" t="s">
        <v>69</v>
      </c>
      <c r="D36" s="43" t="s">
        <v>65</v>
      </c>
      <c r="E36" s="43" t="s">
        <v>66</v>
      </c>
      <c r="F36" s="43" t="s">
        <v>67</v>
      </c>
    </row>
    <row r="37" spans="3:6" x14ac:dyDescent="0.15">
      <c r="C37" s="364"/>
      <c r="D37" s="42">
        <f>+算定シート1!D47</f>
        <v>8800</v>
      </c>
      <c r="E37" s="42" t="str">
        <f>+算定シート1!D50</f>
        <v>-</v>
      </c>
      <c r="F37" s="42" t="str">
        <f>+算定シート1!D49</f>
        <v>-</v>
      </c>
    </row>
    <row r="38" spans="3:6" x14ac:dyDescent="0.15">
      <c r="C38" s="38"/>
    </row>
    <row r="39" spans="3:6" x14ac:dyDescent="0.15">
      <c r="C39" s="363" t="s">
        <v>68</v>
      </c>
      <c r="D39" s="43" t="s">
        <v>65</v>
      </c>
      <c r="E39" s="43" t="s">
        <v>66</v>
      </c>
      <c r="F39" s="43" t="s">
        <v>67</v>
      </c>
    </row>
    <row r="40" spans="3:6" x14ac:dyDescent="0.15">
      <c r="C40" s="364"/>
      <c r="D40" s="42"/>
      <c r="E40" s="42"/>
      <c r="F40" s="42"/>
    </row>
  </sheetData>
  <mergeCells count="8">
    <mergeCell ref="Q10:Q11"/>
    <mergeCell ref="C39:C40"/>
    <mergeCell ref="C18:C19"/>
    <mergeCell ref="C21:C22"/>
    <mergeCell ref="C24:C25"/>
    <mergeCell ref="C33:C34"/>
    <mergeCell ref="C36:C37"/>
    <mergeCell ref="C27:C28"/>
  </mergeCells>
  <phoneticPr fontId="2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リスト!$C$2:$C$32</xm:f>
          </x14:formula1>
          <xm:sqref>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R62"/>
  <sheetViews>
    <sheetView topLeftCell="A28" zoomScaleNormal="100" workbookViewId="0">
      <selection activeCell="Q45" sqref="Q45:S45"/>
    </sheetView>
  </sheetViews>
  <sheetFormatPr defaultColWidth="9" defaultRowHeight="13.5" x14ac:dyDescent="0.15"/>
  <cols>
    <col min="1" max="8" width="3.625" style="33" customWidth="1"/>
    <col min="9" max="9" width="3.625" style="34" customWidth="1"/>
    <col min="10" max="12" width="3.625" style="33" customWidth="1"/>
    <col min="13" max="13" width="3.625" style="34" customWidth="1"/>
    <col min="14" max="18" width="3.625" style="33" customWidth="1"/>
    <col min="19" max="19" width="3.625" style="34" customWidth="1"/>
    <col min="20" max="72" width="3.625" style="33" customWidth="1"/>
    <col min="73" max="16384" width="9" style="33"/>
  </cols>
  <sheetData>
    <row r="1" spans="1:40" ht="18.75" x14ac:dyDescent="0.15">
      <c r="A1" s="175" t="s">
        <v>140</v>
      </c>
      <c r="E1" s="121" t="s">
        <v>199</v>
      </c>
      <c r="F1" s="111"/>
      <c r="G1" s="111"/>
      <c r="H1" s="111"/>
      <c r="I1" s="112"/>
      <c r="J1" s="111"/>
      <c r="K1" s="111"/>
      <c r="L1" s="111"/>
      <c r="M1" s="112"/>
      <c r="U1" s="190" t="str">
        <f>IF(入力シート!I19=0,"一般","現職組合員")</f>
        <v>一般</v>
      </c>
    </row>
    <row r="2" spans="1:40" ht="15" customHeight="1" x14ac:dyDescent="0.15">
      <c r="E2" s="33" t="s">
        <v>200</v>
      </c>
      <c r="AA2" s="175"/>
    </row>
    <row r="3" spans="1:40" x14ac:dyDescent="0.15">
      <c r="C3" s="48"/>
      <c r="D3" s="162"/>
      <c r="E3" s="48"/>
      <c r="F3" s="48"/>
      <c r="G3" s="48"/>
      <c r="H3" s="48"/>
      <c r="I3" s="65"/>
      <c r="J3" s="48"/>
      <c r="K3" s="48"/>
      <c r="L3" s="48"/>
      <c r="M3" s="65"/>
      <c r="N3" s="48"/>
      <c r="O3" s="48"/>
      <c r="P3" s="48"/>
      <c r="Q3" s="48"/>
      <c r="R3" s="48"/>
      <c r="S3" s="65"/>
      <c r="T3" s="48"/>
      <c r="U3" s="48"/>
      <c r="V3" s="48"/>
      <c r="W3" s="48"/>
      <c r="X3" s="48"/>
      <c r="Y3" s="48"/>
      <c r="Z3" s="48"/>
      <c r="AB3" s="48"/>
      <c r="AC3" s="48"/>
      <c r="AD3" s="48"/>
      <c r="AE3" s="48"/>
      <c r="AF3" s="163"/>
      <c r="AG3" s="48"/>
    </row>
    <row r="4" spans="1:40" ht="13.5" customHeight="1" x14ac:dyDescent="0.15">
      <c r="C4" s="48"/>
      <c r="D4" s="162"/>
      <c r="E4" s="48"/>
      <c r="F4" s="291" t="s">
        <v>197</v>
      </c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48"/>
      <c r="AF4" s="163"/>
      <c r="AG4" s="48"/>
    </row>
    <row r="5" spans="1:40" x14ac:dyDescent="0.15">
      <c r="C5" s="48"/>
      <c r="D5" s="162"/>
      <c r="E5" s="48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48"/>
      <c r="AF5" s="163"/>
      <c r="AG5" s="48"/>
    </row>
    <row r="6" spans="1:40" x14ac:dyDescent="0.15">
      <c r="C6" s="48"/>
      <c r="D6" s="162"/>
      <c r="E6" s="4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48"/>
      <c r="AF6" s="163"/>
      <c r="AG6" s="48"/>
    </row>
    <row r="7" spans="1:40" ht="17.25" x14ac:dyDescent="0.15">
      <c r="C7" s="48"/>
      <c r="D7" s="162"/>
      <c r="E7" s="208" t="s">
        <v>214</v>
      </c>
      <c r="F7" s="48"/>
      <c r="G7" s="48"/>
      <c r="H7" s="48"/>
      <c r="I7" s="65"/>
      <c r="J7" s="48"/>
      <c r="K7" s="48"/>
      <c r="L7" s="48"/>
      <c r="M7" s="65"/>
      <c r="N7" s="48"/>
      <c r="O7" s="48"/>
      <c r="P7" s="48"/>
      <c r="Q7" s="48"/>
      <c r="R7" s="48"/>
      <c r="S7" s="65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163"/>
      <c r="AG7" s="48"/>
    </row>
    <row r="8" spans="1:40" ht="14.25" customHeight="1" x14ac:dyDescent="0.15">
      <c r="C8" s="48"/>
      <c r="D8" s="162"/>
      <c r="E8" s="48" t="s">
        <v>204</v>
      </c>
      <c r="F8" s="48"/>
      <c r="G8" s="48"/>
      <c r="H8" s="48"/>
      <c r="I8" s="65"/>
      <c r="J8" s="48"/>
      <c r="K8" s="48"/>
      <c r="L8" s="48"/>
      <c r="M8" s="65"/>
      <c r="N8" s="48"/>
      <c r="O8" s="48"/>
      <c r="P8" s="48"/>
      <c r="Q8" s="48"/>
      <c r="R8" s="48"/>
      <c r="S8" s="65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163"/>
      <c r="AG8" s="48"/>
    </row>
    <row r="9" spans="1:40" ht="14.25" customHeight="1" thickBot="1" x14ac:dyDescent="0.2">
      <c r="C9" s="48"/>
      <c r="D9" s="162"/>
      <c r="E9" s="48"/>
      <c r="F9" s="48"/>
      <c r="G9" s="48"/>
      <c r="H9" s="119"/>
      <c r="I9" s="180" t="s">
        <v>1</v>
      </c>
      <c r="J9" s="180"/>
      <c r="K9" s="65"/>
      <c r="L9" s="119"/>
      <c r="M9" s="180" t="s">
        <v>58</v>
      </c>
      <c r="N9" s="180"/>
      <c r="O9" s="48"/>
      <c r="P9" s="119"/>
      <c r="Q9" s="180" t="s">
        <v>58</v>
      </c>
      <c r="R9" s="180"/>
      <c r="S9" s="48"/>
      <c r="T9" s="119"/>
      <c r="U9" s="180" t="s">
        <v>58</v>
      </c>
      <c r="V9" s="180"/>
      <c r="W9" s="48"/>
      <c r="X9" s="48"/>
      <c r="Y9" s="48"/>
      <c r="Z9" s="180"/>
      <c r="AA9" s="180"/>
      <c r="AB9" s="180" t="s">
        <v>186</v>
      </c>
      <c r="AC9" s="180"/>
      <c r="AD9" s="48"/>
      <c r="AE9" s="48"/>
      <c r="AF9" s="163"/>
      <c r="AG9" s="48"/>
      <c r="AI9" s="176" t="s">
        <v>159</v>
      </c>
      <c r="AL9" s="180"/>
      <c r="AM9" s="180"/>
      <c r="AN9" s="180"/>
    </row>
    <row r="10" spans="1:40" ht="14.25" customHeight="1" thickTop="1" thickBot="1" x14ac:dyDescent="0.2">
      <c r="C10" s="48"/>
      <c r="D10" s="162"/>
      <c r="E10" s="48"/>
      <c r="F10" s="119" t="s">
        <v>125</v>
      </c>
      <c r="G10" s="48"/>
      <c r="H10" s="379">
        <f>+入力シート!D6</f>
        <v>88000</v>
      </c>
      <c r="I10" s="380"/>
      <c r="J10" s="381"/>
      <c r="K10" s="179" t="s">
        <v>142</v>
      </c>
      <c r="L10" s="379">
        <f>+入力シート!E6</f>
        <v>0</v>
      </c>
      <c r="M10" s="386"/>
      <c r="N10" s="387"/>
      <c r="O10" s="164" t="s">
        <v>122</v>
      </c>
      <c r="P10" s="379">
        <f>+入力シート!F6</f>
        <v>0</v>
      </c>
      <c r="Q10" s="386"/>
      <c r="R10" s="387"/>
      <c r="S10" s="164" t="s">
        <v>122</v>
      </c>
      <c r="T10" s="379">
        <f>+入力シート!G6</f>
        <v>0</v>
      </c>
      <c r="U10" s="386"/>
      <c r="V10" s="387"/>
      <c r="W10" s="267" t="s">
        <v>144</v>
      </c>
      <c r="X10" s="268"/>
      <c r="Y10" s="268"/>
      <c r="Z10" s="164" t="s">
        <v>123</v>
      </c>
      <c r="AA10" s="373">
        <f>ROUNDDOWN(AH10,0)</f>
        <v>88000</v>
      </c>
      <c r="AB10" s="384"/>
      <c r="AC10" s="385"/>
      <c r="AD10" s="48"/>
      <c r="AE10" s="48"/>
      <c r="AF10" s="163"/>
      <c r="AG10" s="48" t="s">
        <v>141</v>
      </c>
      <c r="AH10" s="255">
        <f>+H10+(L10+P10+T10)/12</f>
        <v>88000</v>
      </c>
      <c r="AI10" s="256"/>
      <c r="AJ10" s="257"/>
      <c r="AL10" s="252">
        <f>+算定シート1!D19</f>
        <v>88000</v>
      </c>
      <c r="AM10" s="253"/>
      <c r="AN10" s="254"/>
    </row>
    <row r="11" spans="1:40" ht="14.25" customHeight="1" x14ac:dyDescent="0.15">
      <c r="C11" s="48"/>
      <c r="D11" s="162"/>
      <c r="E11" s="48"/>
      <c r="F11" s="48"/>
      <c r="G11" s="48"/>
      <c r="H11" s="48"/>
      <c r="I11" s="65"/>
      <c r="J11" s="48"/>
      <c r="K11" s="48"/>
      <c r="L11" s="48"/>
      <c r="M11" s="65"/>
      <c r="N11" s="48"/>
      <c r="O11" s="48"/>
      <c r="P11" s="48"/>
      <c r="Q11" s="48"/>
      <c r="R11" s="48"/>
      <c r="S11" s="65"/>
      <c r="T11" s="48"/>
      <c r="U11" s="48"/>
      <c r="V11" s="48"/>
      <c r="W11" s="48"/>
      <c r="X11" s="48"/>
      <c r="Y11" s="48"/>
      <c r="Z11" s="48"/>
      <c r="AA11" s="48"/>
      <c r="AB11" s="65" t="s">
        <v>128</v>
      </c>
      <c r="AC11" s="48"/>
      <c r="AD11" s="48"/>
      <c r="AE11" s="48"/>
      <c r="AF11" s="163"/>
      <c r="AG11" s="48"/>
    </row>
    <row r="12" spans="1:40" ht="14.25" customHeight="1" thickBot="1" x14ac:dyDescent="0.2">
      <c r="C12" s="48"/>
      <c r="D12" s="162"/>
      <c r="E12" s="48"/>
      <c r="F12" s="48"/>
      <c r="G12" s="48"/>
      <c r="H12" s="48"/>
      <c r="I12" s="119"/>
      <c r="J12" s="180" t="s">
        <v>3</v>
      </c>
      <c r="K12" s="180"/>
      <c r="L12" s="48"/>
      <c r="M12" s="65"/>
      <c r="N12" s="48"/>
      <c r="R12" s="48"/>
      <c r="S12" s="65"/>
      <c r="T12" s="48"/>
      <c r="U12" s="180" t="s">
        <v>216</v>
      </c>
      <c r="V12" s="48"/>
      <c r="W12" s="48"/>
      <c r="X12" s="48"/>
      <c r="Y12" s="48"/>
      <c r="Z12" s="48"/>
      <c r="AA12" s="48"/>
      <c r="AB12" s="65"/>
      <c r="AC12" s="48"/>
      <c r="AD12" s="48"/>
      <c r="AE12" s="48"/>
      <c r="AF12" s="163"/>
      <c r="AG12" s="48"/>
    </row>
    <row r="13" spans="1:40" ht="14.25" customHeight="1" thickTop="1" thickBot="1" x14ac:dyDescent="0.2">
      <c r="C13" s="48"/>
      <c r="D13" s="162"/>
      <c r="E13" s="48"/>
      <c r="F13" s="119" t="s">
        <v>201</v>
      </c>
      <c r="G13" s="48"/>
      <c r="H13" s="48"/>
      <c r="I13" s="379">
        <f>+AA10</f>
        <v>88000</v>
      </c>
      <c r="J13" s="386"/>
      <c r="K13" s="387"/>
      <c r="L13" s="405" t="s">
        <v>202</v>
      </c>
      <c r="M13" s="406"/>
      <c r="N13" s="406"/>
      <c r="O13" s="293"/>
      <c r="P13" s="293"/>
      <c r="Q13" s="293"/>
      <c r="R13" s="293"/>
      <c r="S13" s="407"/>
      <c r="T13" s="373">
        <f>+I13*12</f>
        <v>1056000</v>
      </c>
      <c r="U13" s="384"/>
      <c r="V13" s="385"/>
      <c r="W13" s="48"/>
      <c r="X13" s="48"/>
      <c r="Y13" s="48"/>
      <c r="Z13" s="48"/>
      <c r="AA13" s="48"/>
      <c r="AB13" s="65"/>
      <c r="AC13" s="48"/>
      <c r="AD13" s="48"/>
      <c r="AE13" s="48"/>
      <c r="AF13" s="163"/>
      <c r="AG13" s="48"/>
    </row>
    <row r="14" spans="1:40" ht="14.25" customHeight="1" x14ac:dyDescent="0.15">
      <c r="C14" s="48"/>
      <c r="D14" s="162"/>
      <c r="E14" s="48"/>
      <c r="F14" s="48"/>
      <c r="G14" s="48"/>
      <c r="H14" s="48"/>
      <c r="I14" s="65"/>
      <c r="J14" s="48"/>
      <c r="K14" s="48"/>
      <c r="L14" s="48"/>
      <c r="M14" s="65"/>
      <c r="N14" s="48"/>
      <c r="O14" s="48"/>
      <c r="P14" s="48"/>
      <c r="Q14" s="48"/>
      <c r="R14" s="48"/>
      <c r="S14" s="65"/>
      <c r="T14" s="48"/>
      <c r="U14" s="48"/>
      <c r="V14" s="48"/>
      <c r="W14" s="48"/>
      <c r="X14" s="48"/>
      <c r="Y14" s="48"/>
      <c r="Z14" s="48"/>
      <c r="AA14" s="48"/>
      <c r="AB14" s="65"/>
      <c r="AC14" s="48"/>
      <c r="AD14" s="48"/>
      <c r="AE14" s="48"/>
      <c r="AF14" s="163"/>
      <c r="AG14" s="48"/>
    </row>
    <row r="15" spans="1:40" ht="14.25" customHeight="1" x14ac:dyDescent="0.15">
      <c r="C15" s="48"/>
      <c r="D15" s="162"/>
      <c r="E15" s="48" t="s">
        <v>203</v>
      </c>
      <c r="F15" s="48"/>
      <c r="G15" s="48"/>
      <c r="H15" s="48"/>
      <c r="I15" s="65"/>
      <c r="J15" s="48"/>
      <c r="K15" s="48"/>
      <c r="L15" s="48"/>
      <c r="M15" s="65"/>
      <c r="N15" s="48"/>
      <c r="O15" s="48"/>
      <c r="P15" s="48"/>
      <c r="Q15" s="48"/>
      <c r="R15" s="48"/>
      <c r="S15" s="65"/>
      <c r="T15" s="48"/>
      <c r="U15" s="48"/>
      <c r="V15" s="48"/>
      <c r="W15" s="48"/>
      <c r="X15" s="48"/>
      <c r="Y15" s="48"/>
      <c r="Z15" s="48"/>
      <c r="AA15" s="48"/>
      <c r="AB15" s="65"/>
      <c r="AC15" s="48"/>
      <c r="AD15" s="48"/>
      <c r="AE15" s="48"/>
      <c r="AF15" s="163"/>
      <c r="AG15" s="48"/>
    </row>
    <row r="16" spans="1:40" ht="14.25" customHeight="1" thickBot="1" x14ac:dyDescent="0.2">
      <c r="C16" s="48"/>
      <c r="D16" s="162"/>
      <c r="E16" s="48"/>
      <c r="F16" s="48"/>
      <c r="G16" s="48"/>
      <c r="H16" s="48"/>
      <c r="K16" s="119"/>
      <c r="L16" s="180" t="s">
        <v>205</v>
      </c>
      <c r="M16" s="180"/>
      <c r="N16" s="48"/>
      <c r="O16" s="119"/>
      <c r="P16" s="214" t="s">
        <v>210</v>
      </c>
      <c r="Q16" s="180"/>
      <c r="R16" s="48"/>
      <c r="S16" s="119"/>
      <c r="T16" s="180" t="s">
        <v>208</v>
      </c>
      <c r="U16" s="180"/>
      <c r="V16" s="180"/>
      <c r="W16" s="180"/>
      <c r="X16" s="180" t="s">
        <v>61</v>
      </c>
      <c r="Y16" s="180"/>
      <c r="Z16" s="48"/>
      <c r="AA16" s="48"/>
      <c r="AB16" s="65"/>
      <c r="AC16" s="48"/>
      <c r="AD16" s="48"/>
      <c r="AE16" s="48"/>
      <c r="AF16" s="163"/>
      <c r="AG16" s="48"/>
      <c r="AI16" s="176" t="s">
        <v>211</v>
      </c>
      <c r="AM16" s="180"/>
    </row>
    <row r="17" spans="3:44" ht="14.25" customHeight="1" thickTop="1" thickBot="1" x14ac:dyDescent="0.2">
      <c r="C17" s="48"/>
      <c r="D17" s="162"/>
      <c r="E17" s="48"/>
      <c r="F17" s="269" t="s">
        <v>207</v>
      </c>
      <c r="G17" s="270"/>
      <c r="H17" s="270"/>
      <c r="I17" s="244"/>
      <c r="J17" s="415"/>
      <c r="K17" s="408">
        <f>+入力シート!D15</f>
        <v>0</v>
      </c>
      <c r="L17" s="380"/>
      <c r="M17" s="381"/>
      <c r="N17" s="164" t="s">
        <v>122</v>
      </c>
      <c r="O17" s="379">
        <f>+V23</f>
        <v>0</v>
      </c>
      <c r="P17" s="386"/>
      <c r="Q17" s="387"/>
      <c r="R17" s="164" t="s">
        <v>122</v>
      </c>
      <c r="S17" s="408">
        <f>+入力シート!D12</f>
        <v>0</v>
      </c>
      <c r="T17" s="409"/>
      <c r="U17" s="410"/>
      <c r="V17" s="164" t="s">
        <v>123</v>
      </c>
      <c r="W17" s="373">
        <f>+K17+O17+S17</f>
        <v>0</v>
      </c>
      <c r="X17" s="374"/>
      <c r="Y17" s="375"/>
      <c r="Z17" s="48"/>
      <c r="AA17" s="48"/>
      <c r="AB17" s="65"/>
      <c r="AC17" s="48"/>
      <c r="AD17" s="48"/>
      <c r="AE17" s="48"/>
      <c r="AF17" s="163"/>
      <c r="AG17" s="48"/>
      <c r="AH17" s="255">
        <f>+K17/12</f>
        <v>0</v>
      </c>
      <c r="AI17" s="256"/>
      <c r="AJ17" s="257"/>
      <c r="AL17" s="252">
        <f>+算定シート1!D30</f>
        <v>0</v>
      </c>
      <c r="AM17" s="253"/>
      <c r="AN17" s="254"/>
    </row>
    <row r="18" spans="3:44" ht="14.25" customHeight="1" thickBot="1" x14ac:dyDescent="0.2">
      <c r="C18" s="48"/>
      <c r="D18" s="162"/>
      <c r="E18" s="48"/>
      <c r="F18" s="48"/>
      <c r="G18" s="48"/>
      <c r="H18" s="48"/>
      <c r="I18" s="65"/>
      <c r="J18" s="48"/>
      <c r="K18" s="48"/>
      <c r="L18" s="48"/>
      <c r="M18" s="65"/>
      <c r="N18" s="48"/>
      <c r="O18" s="48"/>
      <c r="P18" s="48"/>
      <c r="Q18" s="48"/>
      <c r="R18" s="48"/>
      <c r="S18" s="65"/>
      <c r="T18" s="48"/>
      <c r="U18" s="48"/>
      <c r="V18" s="48"/>
      <c r="W18" s="48"/>
      <c r="X18" s="48"/>
      <c r="Y18" s="48"/>
      <c r="Z18" s="48"/>
      <c r="AA18" s="48"/>
      <c r="AB18" s="65"/>
      <c r="AC18" s="48"/>
      <c r="AD18" s="48"/>
      <c r="AE18" s="48"/>
      <c r="AF18" s="163"/>
      <c r="AG18" s="48"/>
      <c r="AI18" s="176" t="s">
        <v>212</v>
      </c>
      <c r="AL18" s="180"/>
      <c r="AM18" s="180"/>
    </row>
    <row r="19" spans="3:44" ht="14.25" customHeight="1" thickTop="1" thickBot="1" x14ac:dyDescent="0.2">
      <c r="C19" s="48"/>
      <c r="D19" s="162"/>
      <c r="E19" s="48" t="s">
        <v>209</v>
      </c>
      <c r="G19" s="48"/>
      <c r="H19" s="48"/>
      <c r="K19" s="119"/>
      <c r="L19" s="180" t="s">
        <v>205</v>
      </c>
      <c r="M19" s="180"/>
      <c r="N19" s="48"/>
      <c r="O19" s="119"/>
      <c r="P19" s="180" t="s">
        <v>206</v>
      </c>
      <c r="Q19" s="180"/>
      <c r="R19" s="48"/>
      <c r="S19" s="119"/>
      <c r="T19" s="180" t="s">
        <v>208</v>
      </c>
      <c r="U19" s="180"/>
      <c r="V19" s="180"/>
      <c r="W19" s="180"/>
      <c r="X19" s="180" t="s">
        <v>9</v>
      </c>
      <c r="Y19" s="180"/>
      <c r="Z19" s="48"/>
      <c r="AA19" s="48"/>
      <c r="AB19" s="65"/>
      <c r="AC19" s="48"/>
      <c r="AD19" s="48"/>
      <c r="AE19" s="48"/>
      <c r="AF19" s="163"/>
      <c r="AG19" s="48"/>
      <c r="AH19" s="255">
        <f>+(J23-N23-R23)/12</f>
        <v>0</v>
      </c>
      <c r="AI19" s="256"/>
      <c r="AJ19" s="257"/>
      <c r="AL19" s="252">
        <f>+算定シート1!D25</f>
        <v>0</v>
      </c>
      <c r="AM19" s="253"/>
      <c r="AN19" s="254"/>
    </row>
    <row r="20" spans="3:44" ht="14.25" customHeight="1" thickTop="1" thickBot="1" x14ac:dyDescent="0.2">
      <c r="C20" s="48"/>
      <c r="D20" s="162"/>
      <c r="E20" s="48"/>
      <c r="F20" s="269" t="s">
        <v>218</v>
      </c>
      <c r="G20" s="270"/>
      <c r="H20" s="270"/>
      <c r="I20" s="244"/>
      <c r="J20" s="398"/>
      <c r="K20" s="391">
        <f>ROUND(AH17,2)</f>
        <v>0</v>
      </c>
      <c r="L20" s="377"/>
      <c r="M20" s="378"/>
      <c r="N20" s="164" t="s">
        <v>122</v>
      </c>
      <c r="O20" s="376">
        <f>ROUND(AH19,2)</f>
        <v>0</v>
      </c>
      <c r="P20" s="377"/>
      <c r="Q20" s="378"/>
      <c r="R20" s="164" t="s">
        <v>122</v>
      </c>
      <c r="S20" s="391">
        <f>ROUND(AH21,2)</f>
        <v>0</v>
      </c>
      <c r="T20" s="377"/>
      <c r="U20" s="378"/>
      <c r="V20" s="164" t="s">
        <v>123</v>
      </c>
      <c r="W20" s="376">
        <f>+K20+O20+Q169</f>
        <v>0</v>
      </c>
      <c r="X20" s="377"/>
      <c r="Y20" s="378"/>
      <c r="Z20" s="48"/>
      <c r="AA20" s="48"/>
      <c r="AB20" s="65"/>
      <c r="AC20" s="48"/>
      <c r="AD20" s="48"/>
      <c r="AE20" s="48"/>
      <c r="AF20" s="163"/>
      <c r="AG20" s="48"/>
      <c r="AI20" s="176" t="s">
        <v>213</v>
      </c>
      <c r="AM20" s="180"/>
    </row>
    <row r="21" spans="3:44" ht="14.25" customHeight="1" thickTop="1" thickBot="1" x14ac:dyDescent="0.2">
      <c r="C21" s="48"/>
      <c r="D21" s="162"/>
      <c r="E21" s="48"/>
      <c r="F21" s="48"/>
      <c r="G21" s="48"/>
      <c r="H21" s="48"/>
      <c r="I21" s="65"/>
      <c r="J21" s="48"/>
      <c r="K21" s="48"/>
      <c r="L21" s="48"/>
      <c r="M21" s="65"/>
      <c r="N21" s="48"/>
      <c r="O21" s="48"/>
      <c r="P21" s="48"/>
      <c r="Q21" s="48"/>
      <c r="R21" s="48"/>
      <c r="S21" s="65"/>
      <c r="T21" s="48"/>
      <c r="U21" s="48"/>
      <c r="V21" s="48"/>
      <c r="W21" s="48"/>
      <c r="X21" s="48"/>
      <c r="Y21" s="48"/>
      <c r="Z21" s="48"/>
      <c r="AA21" s="48"/>
      <c r="AB21" s="65"/>
      <c r="AC21" s="48"/>
      <c r="AD21" s="48"/>
      <c r="AE21" s="48"/>
      <c r="AF21" s="163"/>
      <c r="AG21" s="48"/>
      <c r="AH21" s="255">
        <f>+S17/12</f>
        <v>0</v>
      </c>
      <c r="AI21" s="413"/>
      <c r="AJ21" s="414"/>
      <c r="AL21" s="261" t="s">
        <v>164</v>
      </c>
      <c r="AM21" s="411"/>
      <c r="AN21" s="412"/>
    </row>
    <row r="22" spans="3:44" ht="14.25" customHeight="1" thickTop="1" thickBot="1" x14ac:dyDescent="0.2">
      <c r="C22" s="48"/>
      <c r="D22" s="162"/>
      <c r="E22" s="48" t="s">
        <v>230</v>
      </c>
      <c r="F22" s="48"/>
      <c r="G22" s="48"/>
      <c r="H22" s="48"/>
      <c r="I22" s="48"/>
      <c r="J22" s="165"/>
      <c r="K22" s="166"/>
      <c r="L22" s="177" t="s">
        <v>127</v>
      </c>
      <c r="M22" s="167"/>
      <c r="N22" s="165"/>
      <c r="O22" s="166" t="s">
        <v>138</v>
      </c>
      <c r="P22" s="166"/>
      <c r="Q22" s="167"/>
      <c r="R22" s="182" t="s">
        <v>139</v>
      </c>
      <c r="S22" s="33"/>
      <c r="T22" s="166"/>
      <c r="U22" s="180"/>
      <c r="V22" s="180"/>
      <c r="W22" s="214" t="s">
        <v>210</v>
      </c>
      <c r="X22" s="180"/>
      <c r="AC22" s="48"/>
      <c r="AD22" s="48"/>
      <c r="AE22" s="48"/>
      <c r="AF22" s="163"/>
      <c r="AG22" s="48"/>
    </row>
    <row r="23" spans="3:44" ht="14.25" customHeight="1" thickTop="1" thickBot="1" x14ac:dyDescent="0.2">
      <c r="C23" s="48"/>
      <c r="D23" s="162"/>
      <c r="E23" s="48"/>
      <c r="F23" s="269" t="s">
        <v>188</v>
      </c>
      <c r="G23" s="270"/>
      <c r="H23" s="270"/>
      <c r="I23" s="48"/>
      <c r="J23" s="393">
        <f>+入力シート!D9</f>
        <v>0</v>
      </c>
      <c r="K23" s="394"/>
      <c r="L23" s="395"/>
      <c r="M23" s="164" t="s">
        <v>85</v>
      </c>
      <c r="N23" s="376">
        <f>+入力シート!E9</f>
        <v>0</v>
      </c>
      <c r="O23" s="396"/>
      <c r="P23" s="397"/>
      <c r="Q23" s="164" t="s">
        <v>85</v>
      </c>
      <c r="R23" s="376">
        <f>+入力シート!F9</f>
        <v>0</v>
      </c>
      <c r="S23" s="396"/>
      <c r="T23" s="397"/>
      <c r="U23" s="164" t="s">
        <v>123</v>
      </c>
      <c r="V23" s="376">
        <f>+J23-N23-R23</f>
        <v>0</v>
      </c>
      <c r="W23" s="392"/>
      <c r="X23" s="378"/>
      <c r="AC23" s="48"/>
      <c r="AD23" s="48"/>
      <c r="AE23" s="48"/>
      <c r="AF23" s="163"/>
      <c r="AG23" s="48"/>
    </row>
    <row r="24" spans="3:44" ht="14.25" customHeight="1" thickTop="1" x14ac:dyDescent="0.15">
      <c r="C24" s="48"/>
      <c r="D24" s="162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215"/>
      <c r="X24" s="48"/>
      <c r="Y24" s="48"/>
      <c r="Z24" s="48"/>
      <c r="AA24" s="48"/>
      <c r="AB24" s="48"/>
      <c r="AC24" s="48"/>
      <c r="AD24" s="48"/>
      <c r="AE24" s="48"/>
      <c r="AF24" s="163"/>
      <c r="AG24" s="48"/>
    </row>
    <row r="25" spans="3:44" ht="14.25" customHeight="1" x14ac:dyDescent="0.15">
      <c r="C25" s="48"/>
      <c r="D25" s="162"/>
      <c r="E25" s="48"/>
      <c r="F25" s="48"/>
      <c r="G25" s="48"/>
      <c r="H25" s="48"/>
      <c r="I25" s="65"/>
      <c r="J25" s="48"/>
      <c r="K25" s="48"/>
      <c r="L25" s="48"/>
      <c r="M25" s="33"/>
      <c r="S25" s="33"/>
      <c r="AC25" s="48"/>
      <c r="AD25" s="48"/>
      <c r="AE25" s="48"/>
      <c r="AF25" s="163"/>
      <c r="AG25" s="48"/>
      <c r="AJ25" s="48"/>
    </row>
    <row r="26" spans="3:44" s="110" customFormat="1" ht="17.25" customHeight="1" x14ac:dyDescent="0.15">
      <c r="C26" s="119"/>
      <c r="D26" s="169"/>
      <c r="E26" s="208" t="s">
        <v>215</v>
      </c>
      <c r="F26" s="119"/>
      <c r="G26" s="119"/>
      <c r="H26" s="119"/>
      <c r="I26" s="180"/>
      <c r="J26" s="119"/>
      <c r="K26" s="119"/>
      <c r="L26" s="119"/>
      <c r="AB26" s="119"/>
      <c r="AC26" s="119"/>
      <c r="AD26" s="119"/>
      <c r="AE26" s="119"/>
      <c r="AF26" s="170"/>
      <c r="AG26" s="119"/>
      <c r="AJ26" s="119"/>
    </row>
    <row r="27" spans="3:44" s="110" customFormat="1" ht="14.25" customHeight="1" x14ac:dyDescent="0.15">
      <c r="C27" s="119"/>
      <c r="D27" s="169"/>
      <c r="E27" s="208"/>
      <c r="F27" s="119"/>
      <c r="G27" s="119"/>
      <c r="H27" s="119"/>
      <c r="I27" s="180"/>
      <c r="J27" s="119"/>
      <c r="K27" s="119"/>
      <c r="L27" s="119"/>
      <c r="M27" s="180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70"/>
      <c r="AG27" s="119"/>
      <c r="AJ27" s="119"/>
    </row>
    <row r="28" spans="3:44" s="110" customFormat="1" ht="14.25" customHeight="1" thickBot="1" x14ac:dyDescent="0.2">
      <c r="C28" s="119"/>
      <c r="D28" s="169"/>
      <c r="E28" s="119"/>
      <c r="F28" s="119"/>
      <c r="G28" s="180" t="str">
        <f>+U12</f>
        <v>総報酬年額相当額</v>
      </c>
      <c r="H28" s="180"/>
      <c r="I28" s="180"/>
      <c r="J28" s="119"/>
      <c r="K28" s="180" t="str">
        <f>+X16</f>
        <v>基本年額</v>
      </c>
      <c r="L28" s="180"/>
      <c r="M28" s="180"/>
      <c r="N28" s="119"/>
      <c r="O28" s="180"/>
      <c r="P28" s="119"/>
      <c r="Q28" s="119"/>
      <c r="R28" s="119"/>
      <c r="S28" s="119"/>
      <c r="T28" s="180"/>
      <c r="U28" s="180" t="s">
        <v>129</v>
      </c>
      <c r="V28" s="180"/>
      <c r="W28" s="180"/>
      <c r="X28" s="119"/>
      <c r="Y28" s="119"/>
      <c r="Z28" s="119"/>
      <c r="AA28" s="180"/>
      <c r="AB28" s="180" t="s">
        <v>180</v>
      </c>
      <c r="AC28" s="180"/>
      <c r="AD28" s="119"/>
      <c r="AE28" s="119"/>
      <c r="AF28" s="170"/>
      <c r="AG28" s="119"/>
      <c r="AI28" s="176" t="s">
        <v>161</v>
      </c>
      <c r="AM28" s="188" t="s">
        <v>158</v>
      </c>
      <c r="AQ28" s="188" t="s">
        <v>157</v>
      </c>
    </row>
    <row r="29" spans="3:44" s="110" customFormat="1" ht="14.25" customHeight="1" thickTop="1" thickBot="1" x14ac:dyDescent="0.2">
      <c r="C29" s="119"/>
      <c r="D29" s="169"/>
      <c r="E29" s="171" t="s">
        <v>124</v>
      </c>
      <c r="F29" s="379">
        <f>+T13</f>
        <v>1056000</v>
      </c>
      <c r="G29" s="380"/>
      <c r="H29" s="381"/>
      <c r="I29" s="180" t="s">
        <v>122</v>
      </c>
      <c r="J29" s="379">
        <f>+W17</f>
        <v>0</v>
      </c>
      <c r="K29" s="380"/>
      <c r="L29" s="381"/>
      <c r="M29" s="172" t="s">
        <v>85</v>
      </c>
      <c r="N29" s="292" t="str">
        <f>+Sheet1!E12</f>
        <v>６００万円〕  ×  １／２</v>
      </c>
      <c r="O29" s="293"/>
      <c r="P29" s="293"/>
      <c r="Q29" s="293"/>
      <c r="R29" s="293"/>
      <c r="S29" s="180" t="s">
        <v>123</v>
      </c>
      <c r="T29" s="379">
        <f>ROUNDDOWN(AH29,2)</f>
        <v>-2472000</v>
      </c>
      <c r="U29" s="380"/>
      <c r="V29" s="381"/>
      <c r="W29" s="119"/>
      <c r="X29" s="119"/>
      <c r="Y29" s="119"/>
      <c r="Z29" s="119"/>
      <c r="AA29" s="373">
        <f>ROUNDDOWN(AP29,2)</f>
        <v>0</v>
      </c>
      <c r="AB29" s="384"/>
      <c r="AC29" s="385"/>
      <c r="AD29" s="119"/>
      <c r="AE29" s="119"/>
      <c r="AF29" s="170"/>
      <c r="AG29" s="119"/>
      <c r="AH29" s="300">
        <f>+(F29+J29-Sheet1!E21)/2</f>
        <v>-2472000</v>
      </c>
      <c r="AI29" s="301"/>
      <c r="AJ29" s="302"/>
      <c r="AL29" s="297">
        <f>IF(T29&lt;=J29,T29,J29)</f>
        <v>-2472000</v>
      </c>
      <c r="AM29" s="298"/>
      <c r="AN29" s="299"/>
      <c r="AP29" s="297">
        <f>IF(AL29&lt;0,0,AL29)</f>
        <v>0</v>
      </c>
      <c r="AQ29" s="298"/>
      <c r="AR29" s="299"/>
    </row>
    <row r="30" spans="3:44" s="110" customFormat="1" ht="14.25" customHeight="1" x14ac:dyDescent="0.15">
      <c r="C30" s="119"/>
      <c r="D30" s="169"/>
      <c r="E30" s="171"/>
      <c r="F30" s="113"/>
      <c r="G30" s="178"/>
      <c r="H30" s="178"/>
      <c r="I30" s="180"/>
      <c r="J30" s="113"/>
      <c r="K30" s="178"/>
      <c r="L30" s="178"/>
      <c r="M30" s="172"/>
      <c r="N30" s="180"/>
      <c r="O30" s="5"/>
      <c r="P30" s="5"/>
      <c r="Q30" s="172"/>
      <c r="R30" s="172"/>
      <c r="S30" s="180"/>
      <c r="T30" s="113"/>
      <c r="U30" s="178"/>
      <c r="V30" s="178"/>
      <c r="W30" s="119"/>
      <c r="X30" s="119"/>
      <c r="Y30" s="119"/>
      <c r="Z30" s="182" t="str">
        <f>IF(T29&lt;J29,"","注）すべての年金の全額停止")</f>
        <v/>
      </c>
      <c r="AB30" s="119"/>
      <c r="AC30" s="119"/>
      <c r="AD30" s="119"/>
      <c r="AE30" s="119"/>
      <c r="AF30" s="170"/>
      <c r="AG30" s="119"/>
      <c r="AH30" s="119"/>
    </row>
    <row r="31" spans="3:44" s="110" customFormat="1" ht="14.25" customHeight="1" x14ac:dyDescent="0.15">
      <c r="C31" s="119"/>
      <c r="D31" s="169"/>
      <c r="E31" s="171"/>
      <c r="F31" s="113"/>
      <c r="G31" s="178"/>
      <c r="H31" s="178"/>
      <c r="I31" s="180"/>
      <c r="J31" s="113"/>
      <c r="K31" s="178"/>
      <c r="L31" s="178"/>
      <c r="M31" s="172"/>
      <c r="N31" s="180"/>
      <c r="O31" s="5"/>
      <c r="P31" s="5"/>
      <c r="Q31" s="172"/>
      <c r="R31" s="172"/>
      <c r="S31" s="180"/>
      <c r="T31" s="113"/>
      <c r="U31" s="178"/>
      <c r="V31" s="178"/>
      <c r="W31" s="119"/>
      <c r="X31" s="119"/>
      <c r="Y31" s="119"/>
      <c r="Z31" s="182"/>
      <c r="AB31" s="119"/>
      <c r="AC31" s="119"/>
      <c r="AD31" s="119"/>
      <c r="AE31" s="119"/>
      <c r="AF31" s="170"/>
      <c r="AG31" s="119"/>
      <c r="AH31" s="119"/>
    </row>
    <row r="32" spans="3:44" s="110" customFormat="1" ht="14.25" customHeight="1" x14ac:dyDescent="0.15">
      <c r="C32" s="119"/>
      <c r="D32" s="169"/>
      <c r="E32" s="171"/>
      <c r="F32" s="113"/>
      <c r="G32" s="178"/>
      <c r="H32" s="178"/>
      <c r="I32" s="180"/>
      <c r="J32" s="113"/>
      <c r="K32" s="178"/>
      <c r="L32" s="178"/>
      <c r="M32" s="172"/>
      <c r="N32" s="180"/>
      <c r="O32" s="5"/>
      <c r="P32" s="5"/>
      <c r="Q32" s="172"/>
      <c r="R32" s="172"/>
      <c r="S32" s="180"/>
      <c r="T32" s="113"/>
      <c r="U32" s="178"/>
      <c r="V32" s="178"/>
      <c r="W32" s="119"/>
      <c r="X32" s="119"/>
      <c r="Y32" s="119"/>
      <c r="Z32" s="182"/>
      <c r="AB32" s="119"/>
      <c r="AC32" s="119"/>
      <c r="AD32" s="119"/>
      <c r="AE32" s="119"/>
      <c r="AF32" s="170"/>
      <c r="AG32" s="119"/>
      <c r="AH32" s="119"/>
    </row>
    <row r="33" spans="3:39" s="110" customFormat="1" ht="17.25" customHeight="1" x14ac:dyDescent="0.15">
      <c r="C33" s="119"/>
      <c r="D33" s="169"/>
      <c r="E33" s="208" t="s">
        <v>219</v>
      </c>
      <c r="F33" s="113"/>
      <c r="G33" s="178"/>
      <c r="H33" s="178"/>
      <c r="I33" s="180"/>
      <c r="J33" s="113"/>
      <c r="K33" s="178"/>
      <c r="L33" s="178"/>
      <c r="M33" s="172"/>
      <c r="N33" s="180"/>
      <c r="O33" s="5"/>
      <c r="P33" s="5"/>
      <c r="Q33" s="172"/>
      <c r="R33" s="172"/>
      <c r="S33" s="180"/>
      <c r="T33" s="113"/>
      <c r="U33" s="178"/>
      <c r="V33" s="178"/>
      <c r="W33" s="119"/>
      <c r="X33" s="119"/>
      <c r="Y33" s="119"/>
      <c r="Z33" s="182"/>
      <c r="AB33" s="119"/>
      <c r="AC33" s="119"/>
      <c r="AD33" s="119"/>
      <c r="AE33" s="119"/>
      <c r="AF33" s="170"/>
      <c r="AG33" s="119"/>
      <c r="AH33" s="119"/>
    </row>
    <row r="34" spans="3:39" s="110" customFormat="1" ht="14.25" customHeight="1" x14ac:dyDescent="0.15">
      <c r="C34" s="119"/>
      <c r="D34" s="169"/>
      <c r="E34" s="208"/>
      <c r="F34" s="113"/>
      <c r="G34" s="178"/>
      <c r="H34" s="178"/>
      <c r="I34" s="180"/>
      <c r="J34" s="113"/>
      <c r="K34" s="178"/>
      <c r="L34" s="178"/>
      <c r="M34" s="172"/>
      <c r="N34" s="180"/>
      <c r="O34" s="5"/>
      <c r="P34" s="5"/>
      <c r="Q34" s="172"/>
      <c r="R34" s="172"/>
      <c r="S34" s="180"/>
      <c r="T34" s="113"/>
      <c r="U34" s="178"/>
      <c r="V34" s="178"/>
      <c r="W34" s="119"/>
      <c r="X34" s="119"/>
      <c r="Y34" s="119"/>
      <c r="Z34" s="182"/>
      <c r="AB34" s="119"/>
      <c r="AC34" s="119"/>
      <c r="AD34" s="119"/>
      <c r="AE34" s="119"/>
      <c r="AF34" s="170"/>
      <c r="AG34" s="119"/>
      <c r="AH34" s="119"/>
    </row>
    <row r="35" spans="3:39" s="110" customFormat="1" ht="14.25" customHeight="1" thickBot="1" x14ac:dyDescent="0.2">
      <c r="C35" s="119"/>
      <c r="D35" s="169"/>
      <c r="E35" s="171"/>
      <c r="F35" s="119"/>
      <c r="G35" s="178"/>
      <c r="H35" s="178"/>
      <c r="I35" s="180"/>
      <c r="J35" s="113"/>
      <c r="K35" s="178"/>
      <c r="L35" s="180"/>
      <c r="M35" s="180" t="s">
        <v>180</v>
      </c>
      <c r="N35" s="180"/>
      <c r="O35" s="5"/>
      <c r="P35" s="5"/>
      <c r="Q35" s="196" t="s">
        <v>217</v>
      </c>
      <c r="R35" s="172"/>
      <c r="S35" s="180"/>
      <c r="T35" s="113"/>
      <c r="U35" s="180" t="s">
        <v>61</v>
      </c>
      <c r="V35" s="178"/>
      <c r="W35" s="180"/>
      <c r="X35" s="180"/>
      <c r="Y35" s="180" t="s">
        <v>133</v>
      </c>
      <c r="Z35" s="180"/>
      <c r="AA35" s="119"/>
      <c r="AB35" s="119"/>
      <c r="AC35" s="119"/>
      <c r="AD35" s="119"/>
      <c r="AE35" s="119"/>
      <c r="AF35" s="170"/>
      <c r="AG35" s="119"/>
      <c r="AI35" s="176" t="s">
        <v>175</v>
      </c>
    </row>
    <row r="36" spans="3:39" s="110" customFormat="1" ht="14.25" customHeight="1" thickTop="1" thickBot="1" x14ac:dyDescent="0.2">
      <c r="C36" s="119"/>
      <c r="D36" s="169"/>
      <c r="E36" s="171"/>
      <c r="F36" s="209" t="s">
        <v>190</v>
      </c>
      <c r="G36" s="119"/>
      <c r="H36" s="178"/>
      <c r="I36" s="180"/>
      <c r="J36" s="119"/>
      <c r="L36" s="379">
        <f>+AA29</f>
        <v>0</v>
      </c>
      <c r="M36" s="380"/>
      <c r="N36" s="381"/>
      <c r="O36" s="173" t="s">
        <v>130</v>
      </c>
      <c r="P36" s="379">
        <f>+O17</f>
        <v>0</v>
      </c>
      <c r="Q36" s="380"/>
      <c r="R36" s="381"/>
      <c r="S36" s="173" t="s">
        <v>131</v>
      </c>
      <c r="T36" s="379">
        <f>+W17</f>
        <v>0</v>
      </c>
      <c r="U36" s="380"/>
      <c r="V36" s="381"/>
      <c r="W36" s="164" t="s">
        <v>123</v>
      </c>
      <c r="X36" s="373" t="e">
        <f>+L36*P36/T36</f>
        <v>#DIV/0!</v>
      </c>
      <c r="Y36" s="384"/>
      <c r="Z36" s="385"/>
      <c r="AA36" s="119"/>
      <c r="AB36" s="119"/>
      <c r="AC36" s="119"/>
      <c r="AD36" s="119"/>
      <c r="AE36" s="119"/>
      <c r="AF36" s="170"/>
      <c r="AG36" s="119"/>
      <c r="AH36" s="399" t="e">
        <f>ROUNDDOWN(P36/T36,6)</f>
        <v>#DIV/0!</v>
      </c>
      <c r="AI36" s="400"/>
      <c r="AJ36" s="401"/>
    </row>
    <row r="37" spans="3:39" s="110" customFormat="1" ht="14.25" customHeight="1" thickBot="1" x14ac:dyDescent="0.2">
      <c r="C37" s="119"/>
      <c r="D37" s="169"/>
      <c r="E37" s="171"/>
      <c r="F37" s="209" t="s">
        <v>220</v>
      </c>
      <c r="G37" s="178"/>
      <c r="H37" s="178"/>
      <c r="I37" s="180"/>
      <c r="J37" s="113"/>
      <c r="K37" s="178"/>
      <c r="L37" s="178"/>
      <c r="M37" s="172"/>
      <c r="N37" s="180"/>
      <c r="O37" s="5"/>
      <c r="P37" s="5"/>
      <c r="Q37" s="172"/>
      <c r="R37" s="172"/>
      <c r="S37" s="180"/>
      <c r="T37" s="113"/>
      <c r="U37" s="178"/>
      <c r="V37" s="178"/>
      <c r="W37" s="119"/>
      <c r="X37" s="182" t="e">
        <f>IF(X36&lt;O17,"","注）３号厚年の全額停止")</f>
        <v>#DIV/0!</v>
      </c>
      <c r="Y37" s="119"/>
      <c r="Z37" s="182"/>
      <c r="AB37" s="119"/>
      <c r="AC37" s="119"/>
      <c r="AD37" s="119"/>
      <c r="AE37" s="119"/>
      <c r="AF37" s="170"/>
      <c r="AG37" s="119"/>
      <c r="AH37" s="402" t="e">
        <f>+L36*AH36</f>
        <v>#DIV/0!</v>
      </c>
      <c r="AI37" s="403"/>
      <c r="AJ37" s="404"/>
      <c r="AK37" s="300" t="e">
        <f>+AH37*12</f>
        <v>#DIV/0!</v>
      </c>
      <c r="AL37" s="301"/>
      <c r="AM37" s="302"/>
    </row>
    <row r="38" spans="3:39" s="110" customFormat="1" ht="14.25" customHeight="1" x14ac:dyDescent="0.15">
      <c r="C38" s="119"/>
      <c r="D38" s="169"/>
      <c r="E38" s="171"/>
      <c r="W38" s="180"/>
      <c r="AB38" s="119"/>
      <c r="AC38" s="119"/>
      <c r="AD38" s="119"/>
      <c r="AE38" s="119"/>
      <c r="AF38" s="170"/>
      <c r="AG38" s="119"/>
      <c r="AH38" s="119"/>
    </row>
    <row r="39" spans="3:39" s="110" customFormat="1" ht="14.25" customHeight="1" x14ac:dyDescent="0.15">
      <c r="C39" s="119"/>
      <c r="D39" s="169"/>
      <c r="E39" s="171"/>
      <c r="AB39" s="119"/>
      <c r="AC39" s="119"/>
      <c r="AD39" s="119"/>
      <c r="AE39" s="119"/>
      <c r="AF39" s="170"/>
      <c r="AG39" s="119"/>
    </row>
    <row r="40" spans="3:39" s="110" customFormat="1" ht="17.25" customHeight="1" x14ac:dyDescent="0.15">
      <c r="C40" s="119"/>
      <c r="D40" s="169"/>
      <c r="E40" s="202" t="s">
        <v>221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182"/>
      <c r="AB40" s="119"/>
      <c r="AC40" s="119"/>
      <c r="AD40" s="119"/>
      <c r="AE40" s="119"/>
      <c r="AF40" s="170"/>
      <c r="AG40" s="119"/>
      <c r="AH40" s="119"/>
    </row>
    <row r="41" spans="3:39" s="110" customFormat="1" ht="14.25" customHeight="1" thickBot="1" x14ac:dyDescent="0.2">
      <c r="C41" s="119"/>
      <c r="D41" s="169"/>
      <c r="E41" s="203"/>
      <c r="F41" s="110" t="s">
        <v>63</v>
      </c>
      <c r="G41" s="33"/>
      <c r="H41" s="33"/>
      <c r="I41" s="33"/>
      <c r="J41" s="33"/>
      <c r="K41" s="33"/>
      <c r="L41" s="115"/>
      <c r="M41" s="118" t="s">
        <v>133</v>
      </c>
      <c r="N41" s="115"/>
      <c r="O41" s="33"/>
      <c r="R41" s="118" t="s">
        <v>181</v>
      </c>
      <c r="S41" s="118"/>
      <c r="V41" s="5"/>
      <c r="W41" s="118" t="s">
        <v>133</v>
      </c>
      <c r="X41" s="204"/>
      <c r="Z41" s="182"/>
      <c r="AE41" s="119"/>
      <c r="AF41" s="170"/>
      <c r="AG41" s="119"/>
      <c r="AH41" s="119"/>
    </row>
    <row r="42" spans="3:39" s="110" customFormat="1" ht="14.25" customHeight="1" thickTop="1" thickBot="1" x14ac:dyDescent="0.2">
      <c r="C42" s="119"/>
      <c r="D42" s="169"/>
      <c r="E42" s="203"/>
      <c r="F42" s="110" t="s">
        <v>191</v>
      </c>
      <c r="G42" s="33"/>
      <c r="H42" s="33"/>
      <c r="I42" s="33"/>
      <c r="J42" s="33"/>
      <c r="K42" s="33"/>
      <c r="L42" s="379" t="e">
        <f>+X36</f>
        <v>#DIV/0!</v>
      </c>
      <c r="M42" s="380"/>
      <c r="N42" s="381"/>
      <c r="O42" s="292" t="s">
        <v>222</v>
      </c>
      <c r="P42" s="244"/>
      <c r="Q42" s="379">
        <f>IF(入力シート!C19=1,R23,0)</f>
        <v>0</v>
      </c>
      <c r="R42" s="386"/>
      <c r="S42" s="387"/>
      <c r="T42" s="248" t="s">
        <v>123</v>
      </c>
      <c r="U42" s="244"/>
      <c r="V42" s="383" t="e">
        <f>+L42+Q42</f>
        <v>#DIV/0!</v>
      </c>
      <c r="W42" s="384"/>
      <c r="X42" s="385"/>
      <c r="Z42" s="182"/>
      <c r="AE42" s="119"/>
      <c r="AF42" s="170"/>
      <c r="AG42" s="119"/>
      <c r="AH42" s="119"/>
    </row>
    <row r="43" spans="3:39" s="110" customFormat="1" ht="14.25" customHeight="1" x14ac:dyDescent="0.15">
      <c r="C43" s="119"/>
      <c r="D43" s="169"/>
      <c r="E43" s="203"/>
      <c r="F43" s="33"/>
      <c r="G43" s="33"/>
      <c r="H43" s="33"/>
      <c r="I43" s="33"/>
      <c r="J43" s="33"/>
      <c r="K43" s="33"/>
      <c r="L43" s="33"/>
      <c r="M43" s="116"/>
      <c r="N43" s="181"/>
      <c r="O43" s="181"/>
      <c r="S43" s="181"/>
      <c r="V43" s="178"/>
      <c r="W43" s="205" t="s">
        <v>128</v>
      </c>
      <c r="X43" s="33"/>
      <c r="Z43" s="182"/>
      <c r="AB43" s="119"/>
      <c r="AC43" s="119"/>
      <c r="AD43" s="119"/>
      <c r="AE43" s="119"/>
      <c r="AF43" s="170"/>
      <c r="AG43" s="119"/>
      <c r="AH43" s="119"/>
    </row>
    <row r="44" spans="3:39" s="110" customFormat="1" ht="14.25" customHeight="1" thickBot="1" x14ac:dyDescent="0.2">
      <c r="C44" s="119"/>
      <c r="D44" s="169"/>
      <c r="E44" s="203"/>
      <c r="F44" s="110" t="s">
        <v>63</v>
      </c>
      <c r="G44" s="33"/>
      <c r="H44" s="33"/>
      <c r="I44" s="33"/>
      <c r="J44" s="33"/>
      <c r="K44" s="33"/>
      <c r="L44" s="115"/>
      <c r="M44" s="118" t="s">
        <v>127</v>
      </c>
      <c r="N44" s="115"/>
      <c r="O44" s="33"/>
      <c r="P44" s="33"/>
      <c r="R44" s="118" t="s">
        <v>133</v>
      </c>
      <c r="S44" s="118"/>
      <c r="T44" s="33"/>
      <c r="U44" s="33"/>
      <c r="V44" s="118"/>
      <c r="W44" s="118" t="s">
        <v>167</v>
      </c>
      <c r="X44" s="118"/>
      <c r="Y44" s="33"/>
      <c r="Z44" s="182"/>
      <c r="AB44" s="119"/>
      <c r="AC44" s="119"/>
      <c r="AD44" s="119"/>
      <c r="AE44" s="119"/>
      <c r="AF44" s="170"/>
      <c r="AG44" s="119"/>
      <c r="AH44" s="119"/>
    </row>
    <row r="45" spans="3:39" s="110" customFormat="1" ht="14.25" customHeight="1" thickTop="1" thickBot="1" x14ac:dyDescent="0.2">
      <c r="C45" s="119"/>
      <c r="D45" s="169"/>
      <c r="E45" s="203"/>
      <c r="F45" s="110" t="s">
        <v>192</v>
      </c>
      <c r="G45" s="33"/>
      <c r="H45" s="33"/>
      <c r="I45" s="33"/>
      <c r="J45" s="33"/>
      <c r="K45" s="33"/>
      <c r="L45" s="379">
        <f>+J23</f>
        <v>0</v>
      </c>
      <c r="M45" s="380"/>
      <c r="N45" s="381"/>
      <c r="O45" s="248" t="s">
        <v>85</v>
      </c>
      <c r="P45" s="244"/>
      <c r="Q45" s="379" t="e">
        <f>+V42</f>
        <v>#DIV/0!</v>
      </c>
      <c r="R45" s="386"/>
      <c r="S45" s="387"/>
      <c r="T45" s="248" t="s">
        <v>123</v>
      </c>
      <c r="U45" s="244"/>
      <c r="V45" s="383" t="e">
        <f>+L45-Q45</f>
        <v>#DIV/0!</v>
      </c>
      <c r="W45" s="384"/>
      <c r="X45" s="385"/>
      <c r="Y45" s="33"/>
      <c r="Z45" s="182"/>
      <c r="AB45" s="119"/>
      <c r="AC45" s="119"/>
      <c r="AD45" s="119"/>
      <c r="AE45" s="119"/>
      <c r="AF45" s="170"/>
      <c r="AG45" s="119"/>
      <c r="AH45" s="119"/>
    </row>
    <row r="46" spans="3:39" s="110" customFormat="1" ht="14.25" customHeight="1" x14ac:dyDescent="0.15">
      <c r="C46" s="119"/>
      <c r="D46" s="169"/>
      <c r="E46" s="203"/>
      <c r="G46" s="33"/>
      <c r="H46" s="33"/>
      <c r="I46" s="33"/>
      <c r="J46" s="33"/>
      <c r="K46" s="33"/>
      <c r="L46" s="216"/>
      <c r="M46" s="217"/>
      <c r="N46" s="217"/>
      <c r="O46" s="213"/>
      <c r="P46"/>
      <c r="Q46" s="216"/>
      <c r="R46" s="216"/>
      <c r="S46" s="216"/>
      <c r="T46" s="213"/>
      <c r="U46"/>
      <c r="V46" s="218"/>
      <c r="W46" s="217"/>
      <c r="X46" s="217"/>
      <c r="Y46" s="33"/>
      <c r="Z46" s="182"/>
      <c r="AB46" s="119"/>
      <c r="AC46" s="119"/>
      <c r="AD46" s="119"/>
      <c r="AE46" s="119"/>
      <c r="AF46" s="170"/>
      <c r="AG46" s="119"/>
      <c r="AH46" s="119"/>
    </row>
    <row r="47" spans="3:39" s="110" customFormat="1" ht="14.25" customHeight="1" x14ac:dyDescent="0.15">
      <c r="C47" s="119"/>
      <c r="D47" s="169"/>
      <c r="E47" s="48" t="s">
        <v>209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Y47" s="33"/>
      <c r="Z47" s="182"/>
      <c r="AB47" s="119"/>
      <c r="AC47" s="119"/>
      <c r="AD47" s="119"/>
      <c r="AE47" s="119"/>
      <c r="AF47" s="170"/>
      <c r="AG47" s="119"/>
      <c r="AH47" s="119"/>
    </row>
    <row r="48" spans="3:39" s="110" customFormat="1" ht="14.25" customHeight="1" x14ac:dyDescent="0.15">
      <c r="C48" s="119"/>
      <c r="D48" s="169"/>
      <c r="E48" s="203"/>
      <c r="F48" s="242" t="s">
        <v>171</v>
      </c>
      <c r="G48" s="242"/>
      <c r="H48" s="242"/>
      <c r="I48" s="242"/>
      <c r="J48" s="33"/>
      <c r="K48" s="33"/>
      <c r="L48" s="118"/>
      <c r="M48" s="118" t="s">
        <v>196</v>
      </c>
      <c r="N48" s="118"/>
      <c r="O48" s="33"/>
      <c r="P48" s="33"/>
      <c r="Q48" s="207"/>
      <c r="R48" s="118" t="s">
        <v>174</v>
      </c>
      <c r="S48" s="206"/>
      <c r="T48" s="33"/>
      <c r="U48" s="33"/>
      <c r="V48" s="118"/>
      <c r="W48" s="118" t="s">
        <v>172</v>
      </c>
      <c r="X48" s="118"/>
      <c r="Y48" s="33"/>
      <c r="Z48" s="182"/>
      <c r="AB48" s="119"/>
      <c r="AC48" s="119"/>
      <c r="AD48" s="119"/>
      <c r="AE48" s="119"/>
      <c r="AF48" s="170"/>
      <c r="AG48" s="119"/>
      <c r="AH48" s="119"/>
    </row>
    <row r="49" spans="3:34" s="110" customFormat="1" ht="14.25" customHeight="1" x14ac:dyDescent="0.15">
      <c r="C49" s="119"/>
      <c r="D49" s="169"/>
      <c r="E49" s="203"/>
      <c r="F49" s="242"/>
      <c r="G49" s="242"/>
      <c r="H49" s="242"/>
      <c r="I49" s="242"/>
      <c r="J49" s="33"/>
      <c r="K49" s="33"/>
      <c r="L49" s="388" t="e">
        <f>+V45</f>
        <v>#DIV/0!</v>
      </c>
      <c r="M49" s="389"/>
      <c r="N49" s="390"/>
      <c r="O49" s="248" t="s">
        <v>122</v>
      </c>
      <c r="P49" s="248"/>
      <c r="Q49" s="388">
        <f>IF(入力シート!I19=1,0,入力シート!G9)</f>
        <v>0</v>
      </c>
      <c r="R49" s="389"/>
      <c r="S49" s="390"/>
      <c r="T49" s="248" t="s">
        <v>123</v>
      </c>
      <c r="U49" s="248"/>
      <c r="V49" s="388" t="e">
        <f>+L49+Q49</f>
        <v>#DIV/0!</v>
      </c>
      <c r="W49" s="389"/>
      <c r="X49" s="390"/>
      <c r="Y49" s="33"/>
      <c r="Z49" s="182"/>
      <c r="AB49" s="119"/>
      <c r="AC49" s="119"/>
      <c r="AD49" s="119"/>
      <c r="AE49" s="119"/>
      <c r="AF49" s="170"/>
      <c r="AG49" s="119"/>
      <c r="AH49" s="119"/>
    </row>
    <row r="50" spans="3:34" s="110" customFormat="1" ht="14.25" customHeight="1" x14ac:dyDescent="0.15">
      <c r="C50" s="119"/>
      <c r="D50" s="169"/>
      <c r="E50" s="20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182"/>
      <c r="AB50" s="119"/>
      <c r="AC50" s="119"/>
      <c r="AD50" s="119"/>
      <c r="AE50" s="119"/>
      <c r="AF50" s="170"/>
      <c r="AG50" s="119"/>
      <c r="AH50" s="119"/>
    </row>
    <row r="51" spans="3:34" s="110" customFormat="1" ht="14.25" customHeight="1" x14ac:dyDescent="0.15">
      <c r="C51" s="119"/>
      <c r="D51" s="169"/>
      <c r="E51" s="20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182"/>
      <c r="AB51" s="119"/>
      <c r="AC51" s="119"/>
      <c r="AD51" s="119"/>
      <c r="AE51" s="119"/>
      <c r="AF51" s="170"/>
      <c r="AG51" s="119"/>
      <c r="AH51" s="119"/>
    </row>
    <row r="52" spans="3:34" s="110" customFormat="1" ht="14.25" customHeight="1" x14ac:dyDescent="0.15">
      <c r="C52" s="119"/>
      <c r="D52" s="169"/>
      <c r="E52" s="202" t="s">
        <v>223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182"/>
      <c r="AB52" s="119"/>
      <c r="AC52" s="119"/>
      <c r="AD52" s="119"/>
      <c r="AE52" s="119"/>
      <c r="AF52" s="170"/>
      <c r="AG52" s="119"/>
      <c r="AH52" s="119"/>
    </row>
    <row r="53" spans="3:34" s="110" customFormat="1" ht="14.25" customHeight="1" thickBot="1" x14ac:dyDescent="0.2">
      <c r="C53" s="119"/>
      <c r="D53" s="169"/>
      <c r="E53" s="203"/>
      <c r="F53" s="110" t="s">
        <v>63</v>
      </c>
      <c r="G53" s="33"/>
      <c r="H53" s="33"/>
      <c r="I53" s="33"/>
      <c r="J53" s="33"/>
      <c r="K53" s="33"/>
      <c r="L53" s="115"/>
      <c r="M53" s="118" t="s">
        <v>225</v>
      </c>
      <c r="N53" s="115"/>
      <c r="O53" s="33"/>
      <c r="P53" s="33"/>
      <c r="S53" s="118" t="s">
        <v>227</v>
      </c>
      <c r="T53" s="118"/>
      <c r="Y53" s="33"/>
      <c r="Z53" s="182"/>
      <c r="AB53" s="119"/>
      <c r="AC53" s="119"/>
      <c r="AD53" s="119"/>
      <c r="AE53" s="119"/>
      <c r="AF53" s="170"/>
      <c r="AG53" s="119"/>
    </row>
    <row r="54" spans="3:34" s="110" customFormat="1" ht="14.25" customHeight="1" thickTop="1" thickBot="1" x14ac:dyDescent="0.2">
      <c r="C54" s="119"/>
      <c r="D54" s="169"/>
      <c r="E54" s="203"/>
      <c r="F54" s="110" t="s">
        <v>224</v>
      </c>
      <c r="G54" s="33"/>
      <c r="H54" s="33"/>
      <c r="I54" s="33"/>
      <c r="J54" s="33"/>
      <c r="K54" s="33"/>
      <c r="L54" s="379" t="e">
        <f>+V45</f>
        <v>#DIV/0!</v>
      </c>
      <c r="M54" s="380"/>
      <c r="N54" s="381"/>
      <c r="O54" s="382" t="s">
        <v>226</v>
      </c>
      <c r="P54" s="244"/>
      <c r="Q54" s="244"/>
      <c r="R54" s="373" t="e">
        <f>ROUNDDOWN(L54/12,0)</f>
        <v>#DIV/0!</v>
      </c>
      <c r="S54" s="374"/>
      <c r="T54" s="375"/>
      <c r="Y54" s="33"/>
      <c r="Z54" s="182"/>
      <c r="AB54" s="119"/>
      <c r="AC54" s="119"/>
      <c r="AD54" s="119"/>
      <c r="AE54" s="119"/>
      <c r="AF54" s="170"/>
      <c r="AG54" s="119"/>
    </row>
    <row r="55" spans="3:34" s="110" customFormat="1" ht="14.25" customHeight="1" x14ac:dyDescent="0.15">
      <c r="C55" s="119"/>
      <c r="D55" s="169"/>
      <c r="E55" s="20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182"/>
      <c r="AB55" s="119"/>
      <c r="AC55" s="119"/>
      <c r="AD55" s="119"/>
      <c r="AE55" s="119"/>
      <c r="AF55" s="170"/>
      <c r="AG55" s="119"/>
      <c r="AH55" s="119"/>
    </row>
    <row r="56" spans="3:34" s="110" customFormat="1" ht="14.25" customHeight="1" thickBot="1" x14ac:dyDescent="0.2">
      <c r="C56" s="119"/>
      <c r="D56" s="169"/>
      <c r="E56" s="203"/>
      <c r="F56" s="110" t="s">
        <v>63</v>
      </c>
      <c r="G56" s="33"/>
      <c r="H56" s="33"/>
      <c r="I56" s="33"/>
      <c r="J56" s="33"/>
      <c r="K56" s="33"/>
      <c r="L56" s="115"/>
      <c r="M56" s="118" t="s">
        <v>225</v>
      </c>
      <c r="N56" s="115"/>
      <c r="O56" s="33"/>
      <c r="P56" s="33"/>
      <c r="S56" s="118" t="s">
        <v>227</v>
      </c>
      <c r="T56" s="118"/>
      <c r="U56" s="33"/>
      <c r="V56" s="33"/>
      <c r="W56" s="33"/>
      <c r="X56" s="33"/>
      <c r="Y56" s="33"/>
      <c r="Z56" s="182"/>
      <c r="AB56" s="119"/>
      <c r="AC56" s="119"/>
      <c r="AD56" s="119"/>
      <c r="AE56" s="119"/>
      <c r="AF56" s="170"/>
      <c r="AG56" s="119"/>
      <c r="AH56" s="119"/>
    </row>
    <row r="57" spans="3:34" s="110" customFormat="1" ht="14.25" customHeight="1" thickTop="1" thickBot="1" x14ac:dyDescent="0.2">
      <c r="C57" s="119"/>
      <c r="D57" s="169"/>
      <c r="E57" s="203"/>
      <c r="F57" s="110" t="s">
        <v>228</v>
      </c>
      <c r="G57" s="33"/>
      <c r="H57" s="33"/>
      <c r="I57" s="33"/>
      <c r="J57" s="33"/>
      <c r="K57" s="33"/>
      <c r="L57" s="379" t="e">
        <f>+V45</f>
        <v>#DIV/0!</v>
      </c>
      <c r="M57" s="380"/>
      <c r="N57" s="381"/>
      <c r="O57" s="382" t="s">
        <v>229</v>
      </c>
      <c r="P57" s="244"/>
      <c r="Q57" s="244"/>
      <c r="R57" s="373" t="e">
        <f>ROUNDDOWN(L57/6,0)</f>
        <v>#DIV/0!</v>
      </c>
      <c r="S57" s="374"/>
      <c r="T57" s="375"/>
      <c r="U57" s="33"/>
      <c r="V57" s="33"/>
      <c r="W57" s="33"/>
      <c r="X57" s="33"/>
      <c r="Y57" s="33"/>
      <c r="Z57" s="182"/>
      <c r="AB57" s="119"/>
      <c r="AC57" s="119"/>
      <c r="AD57" s="119"/>
      <c r="AE57" s="119"/>
      <c r="AF57" s="170"/>
      <c r="AG57" s="119"/>
      <c r="AH57" s="119"/>
    </row>
    <row r="58" spans="3:34" s="110" customFormat="1" ht="14.25" customHeight="1" x14ac:dyDescent="0.15">
      <c r="C58" s="119"/>
      <c r="D58" s="169"/>
      <c r="E58" s="20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182"/>
      <c r="AB58" s="119"/>
      <c r="AC58" s="119"/>
      <c r="AD58" s="119"/>
      <c r="AE58" s="119"/>
      <c r="AF58" s="170"/>
      <c r="AG58" s="119"/>
      <c r="AH58" s="119"/>
    </row>
    <row r="59" spans="3:34" s="110" customFormat="1" ht="14.25" customHeight="1" x14ac:dyDescent="0.15">
      <c r="C59" s="119"/>
      <c r="D59" s="169"/>
      <c r="E59" s="20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182"/>
      <c r="AB59" s="119"/>
      <c r="AC59" s="119"/>
      <c r="AD59" s="119"/>
      <c r="AE59" s="119"/>
      <c r="AF59" s="170"/>
      <c r="AG59" s="119"/>
      <c r="AH59" s="119"/>
    </row>
    <row r="60" spans="3:34" s="110" customFormat="1" ht="14.25" customHeight="1" x14ac:dyDescent="0.15">
      <c r="C60" s="119"/>
      <c r="D60" s="169"/>
      <c r="E60" s="20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182"/>
      <c r="AB60" s="119"/>
      <c r="AC60" s="119"/>
      <c r="AD60" s="119"/>
      <c r="AE60" s="119"/>
      <c r="AF60" s="170"/>
      <c r="AG60" s="119"/>
      <c r="AH60" s="119"/>
    </row>
    <row r="61" spans="3:34" s="110" customFormat="1" ht="14.25" customHeight="1" x14ac:dyDescent="0.15">
      <c r="C61" s="119"/>
      <c r="D61" s="169"/>
      <c r="E61" s="20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182"/>
      <c r="AB61" s="119"/>
      <c r="AC61" s="119"/>
      <c r="AD61" s="119"/>
      <c r="AE61" s="119"/>
      <c r="AF61" s="170"/>
      <c r="AG61" s="119"/>
      <c r="AH61" s="119"/>
    </row>
    <row r="62" spans="3:34" s="110" customFormat="1" ht="14.25" customHeight="1" x14ac:dyDescent="0.15">
      <c r="C62" s="119"/>
      <c r="D62" s="169"/>
      <c r="E62" s="20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182"/>
      <c r="AB62" s="119"/>
      <c r="AC62" s="119"/>
      <c r="AD62" s="119"/>
      <c r="AE62" s="119"/>
      <c r="AF62" s="170"/>
      <c r="AG62" s="119"/>
      <c r="AH62" s="119"/>
    </row>
  </sheetData>
  <mergeCells count="70">
    <mergeCell ref="AL21:AN21"/>
    <mergeCell ref="AH21:AJ21"/>
    <mergeCell ref="F17:J17"/>
    <mergeCell ref="F4:AD5"/>
    <mergeCell ref="H10:J10"/>
    <mergeCell ref="L10:N10"/>
    <mergeCell ref="P10:R10"/>
    <mergeCell ref="T10:V10"/>
    <mergeCell ref="W10:Y10"/>
    <mergeCell ref="AA10:AC10"/>
    <mergeCell ref="AH10:AJ10"/>
    <mergeCell ref="AL10:AN10"/>
    <mergeCell ref="K17:M17"/>
    <mergeCell ref="K20:M20"/>
    <mergeCell ref="AH17:AJ17"/>
    <mergeCell ref="AL17:AN17"/>
    <mergeCell ref="I13:K13"/>
    <mergeCell ref="T13:V13"/>
    <mergeCell ref="L13:S13"/>
    <mergeCell ref="O17:Q17"/>
    <mergeCell ref="S17:U17"/>
    <mergeCell ref="V49:X49"/>
    <mergeCell ref="AP29:AR29"/>
    <mergeCell ref="L36:N36"/>
    <mergeCell ref="P36:R36"/>
    <mergeCell ref="T36:V36"/>
    <mergeCell ref="X36:Z36"/>
    <mergeCell ref="AH36:AJ36"/>
    <mergeCell ref="J29:L29"/>
    <mergeCell ref="N29:R29"/>
    <mergeCell ref="T29:V29"/>
    <mergeCell ref="AH37:AJ37"/>
    <mergeCell ref="AK37:AM37"/>
    <mergeCell ref="AA29:AC29"/>
    <mergeCell ref="AH29:AJ29"/>
    <mergeCell ref="AL29:AN29"/>
    <mergeCell ref="L45:N45"/>
    <mergeCell ref="F29:H29"/>
    <mergeCell ref="S20:U20"/>
    <mergeCell ref="V23:X23"/>
    <mergeCell ref="F23:H23"/>
    <mergeCell ref="J23:L23"/>
    <mergeCell ref="N23:P23"/>
    <mergeCell ref="F20:J20"/>
    <mergeCell ref="R23:T23"/>
    <mergeCell ref="O20:Q20"/>
    <mergeCell ref="O45:P45"/>
    <mergeCell ref="Q45:S45"/>
    <mergeCell ref="T45:U45"/>
    <mergeCell ref="F48:I49"/>
    <mergeCell ref="L49:N49"/>
    <mergeCell ref="O49:P49"/>
    <mergeCell ref="Q49:S49"/>
    <mergeCell ref="T49:U49"/>
    <mergeCell ref="W17:Y17"/>
    <mergeCell ref="W20:Y20"/>
    <mergeCell ref="AH19:AJ19"/>
    <mergeCell ref="AL19:AN19"/>
    <mergeCell ref="L57:N57"/>
    <mergeCell ref="O57:Q57"/>
    <mergeCell ref="R57:T57"/>
    <mergeCell ref="V45:X45"/>
    <mergeCell ref="O42:P42"/>
    <mergeCell ref="T42:U42"/>
    <mergeCell ref="L54:N54"/>
    <mergeCell ref="R54:T54"/>
    <mergeCell ref="O54:Q54"/>
    <mergeCell ref="L42:N42"/>
    <mergeCell ref="Q42:S42"/>
    <mergeCell ref="V42:X42"/>
  </mergeCells>
  <phoneticPr fontId="2"/>
  <pageMargins left="0.7" right="0.7" top="0.75" bottom="0.75" header="0.3" footer="0.3"/>
  <pageSetup paperSize="9" scale="91" orientation="portrait" r:id="rId1"/>
  <colBreaks count="1" manualBreakCount="1">
    <brk id="31" max="4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D33"/>
  <sheetViews>
    <sheetView workbookViewId="0">
      <selection activeCell="AH32" sqref="AH32"/>
    </sheetView>
  </sheetViews>
  <sheetFormatPr defaultRowHeight="13.5" x14ac:dyDescent="0.15"/>
  <cols>
    <col min="4" max="4" width="11" bestFit="1" customWidth="1"/>
  </cols>
  <sheetData>
    <row r="2" spans="1:4" x14ac:dyDescent="0.15">
      <c r="A2" s="1">
        <v>27</v>
      </c>
      <c r="B2" s="2">
        <v>10</v>
      </c>
      <c r="C2" s="3">
        <v>88000</v>
      </c>
      <c r="D2" s="1" t="s">
        <v>20</v>
      </c>
    </row>
    <row r="3" spans="1:4" x14ac:dyDescent="0.15">
      <c r="A3" s="1">
        <v>28</v>
      </c>
      <c r="B3" s="2">
        <v>11</v>
      </c>
      <c r="C3" s="3">
        <v>98000</v>
      </c>
      <c r="D3" s="1" t="s">
        <v>21</v>
      </c>
    </row>
    <row r="4" spans="1:4" x14ac:dyDescent="0.15">
      <c r="B4" s="2">
        <v>12</v>
      </c>
      <c r="C4" s="3">
        <v>104000</v>
      </c>
    </row>
    <row r="5" spans="1:4" x14ac:dyDescent="0.15">
      <c r="B5" s="2">
        <v>1</v>
      </c>
      <c r="C5" s="3">
        <v>110000</v>
      </c>
    </row>
    <row r="6" spans="1:4" x14ac:dyDescent="0.15">
      <c r="B6" s="2">
        <v>2</v>
      </c>
      <c r="C6" s="3">
        <v>118000</v>
      </c>
    </row>
    <row r="7" spans="1:4" x14ac:dyDescent="0.15">
      <c r="B7" s="2">
        <v>3</v>
      </c>
      <c r="C7" s="3">
        <v>126000</v>
      </c>
    </row>
    <row r="8" spans="1:4" x14ac:dyDescent="0.15">
      <c r="B8" s="2">
        <v>4</v>
      </c>
      <c r="C8" s="3">
        <v>134000</v>
      </c>
    </row>
    <row r="9" spans="1:4" x14ac:dyDescent="0.15">
      <c r="B9" s="2">
        <v>5</v>
      </c>
      <c r="C9" s="3">
        <v>142000</v>
      </c>
    </row>
    <row r="10" spans="1:4" x14ac:dyDescent="0.15">
      <c r="B10" s="2">
        <v>6</v>
      </c>
      <c r="C10" s="3">
        <v>150000</v>
      </c>
    </row>
    <row r="11" spans="1:4" x14ac:dyDescent="0.15">
      <c r="B11" s="2">
        <v>7</v>
      </c>
      <c r="C11" s="3">
        <v>160000</v>
      </c>
    </row>
    <row r="12" spans="1:4" x14ac:dyDescent="0.15">
      <c r="B12" s="2">
        <v>8</v>
      </c>
      <c r="C12" s="3">
        <v>170000</v>
      </c>
    </row>
    <row r="13" spans="1:4" x14ac:dyDescent="0.15">
      <c r="B13" s="2">
        <v>9</v>
      </c>
      <c r="C13" s="3">
        <v>180000</v>
      </c>
    </row>
    <row r="14" spans="1:4" x14ac:dyDescent="0.15">
      <c r="C14" s="3">
        <v>190000</v>
      </c>
    </row>
    <row r="15" spans="1:4" x14ac:dyDescent="0.15">
      <c r="C15" s="3">
        <v>200000</v>
      </c>
    </row>
    <row r="16" spans="1:4" x14ac:dyDescent="0.15">
      <c r="C16" s="3">
        <v>220000</v>
      </c>
    </row>
    <row r="17" spans="3:3" x14ac:dyDescent="0.15">
      <c r="C17" s="3">
        <v>240000</v>
      </c>
    </row>
    <row r="18" spans="3:3" x14ac:dyDescent="0.15">
      <c r="C18" s="3">
        <v>260000</v>
      </c>
    </row>
    <row r="19" spans="3:3" x14ac:dyDescent="0.15">
      <c r="C19" s="3">
        <v>280000</v>
      </c>
    </row>
    <row r="20" spans="3:3" x14ac:dyDescent="0.15">
      <c r="C20" s="3">
        <v>300000</v>
      </c>
    </row>
    <row r="21" spans="3:3" x14ac:dyDescent="0.15">
      <c r="C21" s="3">
        <v>320000</v>
      </c>
    </row>
    <row r="22" spans="3:3" x14ac:dyDescent="0.15">
      <c r="C22" s="3">
        <v>340000</v>
      </c>
    </row>
    <row r="23" spans="3:3" x14ac:dyDescent="0.15">
      <c r="C23" s="3">
        <v>360000</v>
      </c>
    </row>
    <row r="24" spans="3:3" x14ac:dyDescent="0.15">
      <c r="C24" s="3">
        <v>380000</v>
      </c>
    </row>
    <row r="25" spans="3:3" x14ac:dyDescent="0.15">
      <c r="C25" s="3">
        <v>410000</v>
      </c>
    </row>
    <row r="26" spans="3:3" x14ac:dyDescent="0.15">
      <c r="C26" s="3">
        <v>440000</v>
      </c>
    </row>
    <row r="27" spans="3:3" x14ac:dyDescent="0.15">
      <c r="C27" s="3">
        <v>470000</v>
      </c>
    </row>
    <row r="28" spans="3:3" x14ac:dyDescent="0.15">
      <c r="C28" s="3">
        <v>500000</v>
      </c>
    </row>
    <row r="29" spans="3:3" x14ac:dyDescent="0.15">
      <c r="C29" s="3">
        <v>530000</v>
      </c>
    </row>
    <row r="30" spans="3:3" x14ac:dyDescent="0.15">
      <c r="C30" s="3">
        <v>560000</v>
      </c>
    </row>
    <row r="31" spans="3:3" x14ac:dyDescent="0.15">
      <c r="C31" s="3">
        <v>590000</v>
      </c>
    </row>
    <row r="32" spans="3:3" x14ac:dyDescent="0.15">
      <c r="C32" s="3">
        <v>620000</v>
      </c>
    </row>
    <row r="33" spans="3:3" x14ac:dyDescent="0.15">
      <c r="C33" s="222">
        <v>650000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N27"/>
  <sheetViews>
    <sheetView workbookViewId="0">
      <selection activeCell="B3" sqref="B3"/>
    </sheetView>
  </sheetViews>
  <sheetFormatPr defaultRowHeight="13.5" x14ac:dyDescent="0.15"/>
  <cols>
    <col min="5" max="15" width="3.625" customWidth="1"/>
    <col min="16" max="16" width="9" customWidth="1"/>
    <col min="17" max="31" width="3.625" customWidth="1"/>
  </cols>
  <sheetData>
    <row r="2" spans="2:14" ht="14.25" thickBot="1" x14ac:dyDescent="0.2"/>
    <row r="3" spans="2:14" ht="14.25" thickBot="1" x14ac:dyDescent="0.2">
      <c r="B3" s="220">
        <f>+入力シート!D24</f>
        <v>500000</v>
      </c>
      <c r="C3">
        <v>1</v>
      </c>
      <c r="D3" s="221" t="s">
        <v>237</v>
      </c>
      <c r="E3" s="417" t="str">
        <f>VLOOKUP($B$3,D4:E9,2,0)</f>
        <v>５０万円〕  ×  １／２</v>
      </c>
      <c r="F3" s="418"/>
      <c r="G3" s="418"/>
      <c r="H3" s="418"/>
      <c r="I3" s="418"/>
      <c r="J3" s="418"/>
      <c r="K3" s="418"/>
      <c r="L3" s="418"/>
      <c r="M3" s="418"/>
      <c r="N3" s="419"/>
    </row>
    <row r="4" spans="2:14" x14ac:dyDescent="0.15">
      <c r="D4" s="31">
        <v>450000</v>
      </c>
      <c r="E4" s="292" t="s">
        <v>238</v>
      </c>
      <c r="F4" s="293"/>
      <c r="G4" s="293"/>
      <c r="H4" s="293"/>
      <c r="I4" s="293"/>
      <c r="J4" s="293"/>
      <c r="K4" s="293"/>
      <c r="L4" s="293"/>
      <c r="M4" s="293"/>
      <c r="N4" s="293"/>
    </row>
    <row r="5" spans="2:14" x14ac:dyDescent="0.15">
      <c r="D5" s="31">
        <v>460000</v>
      </c>
      <c r="E5" s="292" t="s">
        <v>239</v>
      </c>
      <c r="F5" s="293"/>
      <c r="G5" s="293"/>
      <c r="H5" s="293"/>
      <c r="I5" s="293"/>
      <c r="J5" s="293"/>
      <c r="K5" s="293"/>
      <c r="L5" s="293"/>
      <c r="M5" s="293"/>
      <c r="N5" s="293"/>
    </row>
    <row r="6" spans="2:14" x14ac:dyDescent="0.15">
      <c r="D6" s="31">
        <v>470000</v>
      </c>
      <c r="E6" s="292" t="s">
        <v>135</v>
      </c>
      <c r="F6" s="293"/>
      <c r="G6" s="293"/>
      <c r="H6" s="293"/>
      <c r="I6" s="293"/>
      <c r="J6" s="293"/>
      <c r="K6" s="293"/>
      <c r="L6" s="293"/>
      <c r="M6" s="293"/>
      <c r="N6" s="293"/>
    </row>
    <row r="7" spans="2:14" x14ac:dyDescent="0.15">
      <c r="D7" s="31">
        <v>480000</v>
      </c>
      <c r="E7" s="292" t="s">
        <v>240</v>
      </c>
      <c r="F7" s="293"/>
      <c r="G7" s="293"/>
      <c r="H7" s="293"/>
      <c r="I7" s="293"/>
      <c r="J7" s="293"/>
      <c r="K7" s="293"/>
      <c r="L7" s="293"/>
      <c r="M7" s="293"/>
      <c r="N7" s="293"/>
    </row>
    <row r="8" spans="2:14" x14ac:dyDescent="0.15">
      <c r="D8" s="31">
        <v>490000</v>
      </c>
      <c r="E8" s="292" t="s">
        <v>241</v>
      </c>
      <c r="F8" s="293"/>
      <c r="G8" s="293"/>
      <c r="H8" s="293"/>
      <c r="I8" s="293"/>
      <c r="J8" s="293"/>
      <c r="K8" s="293"/>
      <c r="L8" s="293"/>
      <c r="M8" s="293"/>
      <c r="N8" s="293"/>
    </row>
    <row r="9" spans="2:14" x14ac:dyDescent="0.15">
      <c r="D9" s="31">
        <v>500000</v>
      </c>
      <c r="E9" s="292" t="s">
        <v>242</v>
      </c>
      <c r="F9" s="293"/>
      <c r="G9" s="293"/>
      <c r="H9" s="293"/>
      <c r="I9" s="293"/>
      <c r="J9" s="293"/>
      <c r="K9" s="293"/>
      <c r="L9" s="293"/>
      <c r="M9" s="293"/>
      <c r="N9" s="293"/>
    </row>
    <row r="11" spans="2:14" ht="14.25" thickBot="1" x14ac:dyDescent="0.2"/>
    <row r="12" spans="2:14" ht="14.25" thickBot="1" x14ac:dyDescent="0.2">
      <c r="C12">
        <v>2</v>
      </c>
      <c r="D12" s="221" t="s">
        <v>237</v>
      </c>
      <c r="E12" s="417" t="str">
        <f>VLOOKUP($B$3,D13:E18,2,0)</f>
        <v>６００万円〕  ×  １／２</v>
      </c>
      <c r="F12" s="418"/>
      <c r="G12" s="418"/>
      <c r="H12" s="418"/>
      <c r="I12" s="418"/>
      <c r="J12" s="418"/>
      <c r="K12" s="418"/>
      <c r="L12" s="418"/>
      <c r="M12" s="418"/>
      <c r="N12" s="419"/>
    </row>
    <row r="13" spans="2:14" x14ac:dyDescent="0.15">
      <c r="D13" s="31">
        <v>450000</v>
      </c>
      <c r="E13" s="292" t="s">
        <v>243</v>
      </c>
      <c r="F13" s="293"/>
      <c r="G13" s="293"/>
      <c r="H13" s="293"/>
      <c r="I13" s="293"/>
      <c r="J13" s="416"/>
      <c r="K13" s="293"/>
      <c r="L13" s="293"/>
      <c r="M13" s="293"/>
      <c r="N13" s="293"/>
    </row>
    <row r="14" spans="2:14" x14ac:dyDescent="0.15">
      <c r="D14" s="31">
        <v>460000</v>
      </c>
      <c r="E14" s="292" t="s">
        <v>244</v>
      </c>
      <c r="F14" s="293"/>
      <c r="G14" s="293"/>
      <c r="H14" s="293"/>
      <c r="I14" s="293"/>
      <c r="J14" s="416"/>
      <c r="K14" s="293"/>
      <c r="L14" s="293"/>
      <c r="M14" s="293"/>
      <c r="N14" s="293"/>
    </row>
    <row r="15" spans="2:14" x14ac:dyDescent="0.15">
      <c r="D15" s="31">
        <v>470000</v>
      </c>
      <c r="E15" s="292" t="s">
        <v>231</v>
      </c>
      <c r="F15" s="293"/>
      <c r="G15" s="293"/>
      <c r="H15" s="293"/>
      <c r="I15" s="293"/>
      <c r="J15" s="416"/>
      <c r="K15" s="293"/>
      <c r="L15" s="293"/>
      <c r="M15" s="293"/>
      <c r="N15" s="293"/>
    </row>
    <row r="16" spans="2:14" x14ac:dyDescent="0.15">
      <c r="D16" s="31">
        <v>480000</v>
      </c>
      <c r="E16" s="292" t="s">
        <v>245</v>
      </c>
      <c r="F16" s="293"/>
      <c r="G16" s="293"/>
      <c r="H16" s="293"/>
      <c r="I16" s="293"/>
      <c r="J16" s="416"/>
      <c r="K16" s="293"/>
      <c r="L16" s="293"/>
      <c r="M16" s="293"/>
      <c r="N16" s="293"/>
    </row>
    <row r="17" spans="3:14" x14ac:dyDescent="0.15">
      <c r="D17" s="31">
        <v>490000</v>
      </c>
      <c r="E17" s="292" t="s">
        <v>246</v>
      </c>
      <c r="F17" s="293"/>
      <c r="G17" s="293"/>
      <c r="H17" s="293"/>
      <c r="I17" s="293"/>
      <c r="J17" s="416"/>
      <c r="K17" s="293"/>
      <c r="L17" s="293"/>
      <c r="M17" s="293"/>
      <c r="N17" s="293"/>
    </row>
    <row r="18" spans="3:14" x14ac:dyDescent="0.15">
      <c r="D18" s="31">
        <v>500000</v>
      </c>
      <c r="E18" s="292" t="s">
        <v>247</v>
      </c>
      <c r="F18" s="293"/>
      <c r="G18" s="293"/>
      <c r="H18" s="293"/>
      <c r="I18" s="293"/>
      <c r="J18" s="416"/>
      <c r="K18" s="293"/>
      <c r="L18" s="293"/>
      <c r="M18" s="293"/>
      <c r="N18" s="293"/>
    </row>
    <row r="20" spans="3:14" ht="14.25" thickBot="1" x14ac:dyDescent="0.2"/>
    <row r="21" spans="3:14" ht="14.25" thickBot="1" x14ac:dyDescent="0.2">
      <c r="C21">
        <v>3</v>
      </c>
      <c r="D21" s="221" t="s">
        <v>237</v>
      </c>
      <c r="E21" s="417">
        <f>VLOOKUP($B$3,D22:E27,2,0)</f>
        <v>6000000</v>
      </c>
      <c r="F21" s="418"/>
      <c r="G21" s="418"/>
      <c r="H21" s="418"/>
      <c r="I21" s="418"/>
      <c r="J21" s="418"/>
      <c r="K21" s="418"/>
      <c r="L21" s="418"/>
      <c r="M21" s="418"/>
      <c r="N21" s="419"/>
    </row>
    <row r="22" spans="3:14" x14ac:dyDescent="0.15">
      <c r="D22" s="31">
        <v>450000</v>
      </c>
      <c r="E22" s="416">
        <f>+D22*12</f>
        <v>5400000</v>
      </c>
      <c r="F22" s="293"/>
      <c r="G22" s="293"/>
      <c r="H22" s="293"/>
      <c r="I22" s="293"/>
      <c r="J22" s="416"/>
      <c r="K22" s="293"/>
      <c r="L22" s="293"/>
      <c r="M22" s="293"/>
      <c r="N22" s="293"/>
    </row>
    <row r="23" spans="3:14" x14ac:dyDescent="0.15">
      <c r="D23" s="31">
        <v>460000</v>
      </c>
      <c r="E23" s="416">
        <f t="shared" ref="E23:E27" si="0">+D23*12</f>
        <v>5520000</v>
      </c>
      <c r="F23" s="293"/>
      <c r="G23" s="293"/>
      <c r="H23" s="293"/>
      <c r="I23" s="293"/>
      <c r="J23" s="416"/>
      <c r="K23" s="293"/>
      <c r="L23" s="293"/>
      <c r="M23" s="293"/>
      <c r="N23" s="293"/>
    </row>
    <row r="24" spans="3:14" x14ac:dyDescent="0.15">
      <c r="D24" s="31">
        <v>470000</v>
      </c>
      <c r="E24" s="416">
        <f t="shared" si="0"/>
        <v>5640000</v>
      </c>
      <c r="F24" s="293"/>
      <c r="G24" s="293"/>
      <c r="H24" s="293"/>
      <c r="I24" s="293"/>
      <c r="J24" s="416"/>
      <c r="K24" s="293"/>
      <c r="L24" s="293"/>
      <c r="M24" s="293"/>
      <c r="N24" s="293"/>
    </row>
    <row r="25" spans="3:14" x14ac:dyDescent="0.15">
      <c r="D25" s="31">
        <v>480000</v>
      </c>
      <c r="E25" s="416">
        <f t="shared" si="0"/>
        <v>5760000</v>
      </c>
      <c r="F25" s="293"/>
      <c r="G25" s="293"/>
      <c r="H25" s="293"/>
      <c r="I25" s="293"/>
      <c r="J25" s="416"/>
      <c r="K25" s="293"/>
      <c r="L25" s="293"/>
      <c r="M25" s="293"/>
      <c r="N25" s="293"/>
    </row>
    <row r="26" spans="3:14" x14ac:dyDescent="0.15">
      <c r="D26" s="31">
        <v>490000</v>
      </c>
      <c r="E26" s="416">
        <f t="shared" si="0"/>
        <v>5880000</v>
      </c>
      <c r="F26" s="293"/>
      <c r="G26" s="293"/>
      <c r="H26" s="293"/>
      <c r="I26" s="293"/>
      <c r="J26" s="416"/>
      <c r="K26" s="293"/>
      <c r="L26" s="293"/>
      <c r="M26" s="293"/>
      <c r="N26" s="293"/>
    </row>
    <row r="27" spans="3:14" x14ac:dyDescent="0.15">
      <c r="D27" s="31">
        <v>500000</v>
      </c>
      <c r="E27" s="416">
        <f t="shared" si="0"/>
        <v>6000000</v>
      </c>
      <c r="F27" s="293"/>
      <c r="G27" s="293"/>
      <c r="H27" s="293"/>
      <c r="I27" s="293"/>
      <c r="J27" s="416"/>
      <c r="K27" s="293"/>
      <c r="L27" s="293"/>
      <c r="M27" s="293"/>
      <c r="N27" s="293"/>
    </row>
  </sheetData>
  <mergeCells count="33">
    <mergeCell ref="E27:I27"/>
    <mergeCell ref="J27:N27"/>
    <mergeCell ref="E24:I24"/>
    <mergeCell ref="J24:N24"/>
    <mergeCell ref="E25:I25"/>
    <mergeCell ref="J25:N25"/>
    <mergeCell ref="E26:I26"/>
    <mergeCell ref="J26:N26"/>
    <mergeCell ref="E21:N21"/>
    <mergeCell ref="E22:I22"/>
    <mergeCell ref="J22:N22"/>
    <mergeCell ref="E23:I23"/>
    <mergeCell ref="J23:N23"/>
    <mergeCell ref="E8:N8"/>
    <mergeCell ref="E5:N5"/>
    <mergeCell ref="E14:I14"/>
    <mergeCell ref="J14:N14"/>
    <mergeCell ref="E3:N3"/>
    <mergeCell ref="E12:N12"/>
    <mergeCell ref="E4:N4"/>
    <mergeCell ref="E13:I13"/>
    <mergeCell ref="J13:N13"/>
    <mergeCell ref="E6:N6"/>
    <mergeCell ref="E7:N7"/>
    <mergeCell ref="E17:I17"/>
    <mergeCell ref="J17:N17"/>
    <mergeCell ref="E9:N9"/>
    <mergeCell ref="E18:I18"/>
    <mergeCell ref="J18:N18"/>
    <mergeCell ref="E15:I15"/>
    <mergeCell ref="J15:N15"/>
    <mergeCell ref="E16:I16"/>
    <mergeCell ref="J16:N1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計算書</vt:lpstr>
      <vt:lpstr>入力シート</vt:lpstr>
      <vt:lpstr>算定シート1</vt:lpstr>
      <vt:lpstr>算定シート2</vt:lpstr>
      <vt:lpstr>内部用</vt:lpstr>
      <vt:lpstr>リスト</vt:lpstr>
      <vt:lpstr>Sheet1</vt:lpstr>
      <vt:lpstr>計算書!Print_Area</vt:lpstr>
      <vt:lpstr>算定シート1!Print_Area</vt:lpstr>
      <vt:lpstr>内部用!Print_Area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BOSTUDIO5</cp:lastModifiedBy>
  <cp:lastPrinted>2023-06-08T00:35:08Z</cp:lastPrinted>
  <dcterms:created xsi:type="dcterms:W3CDTF">2014-09-01T01:45:23Z</dcterms:created>
  <dcterms:modified xsi:type="dcterms:W3CDTF">2024-05-14T00:54:15Z</dcterms:modified>
</cp:coreProperties>
</file>